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345" windowHeight="4650" tabRatio="803" activeTab="1"/>
  </bookViews>
  <sheets>
    <sheet name="1-ԱՄՓՈՓ" sheetId="1" r:id="rId1"/>
    <sheet name="2-ԸՆԴԱՄԵՆԸ ԾԱԽՍԵՐ" sheetId="2" r:id="rId2"/>
    <sheet name="3-Ծախսերի բացվածք" sheetId="3" r:id="rId3"/>
    <sheet name="4-ԿԱՊ" sheetId="4" r:id="rId4"/>
    <sheet name="7-էլ-էներգիա" sheetId="5" r:id="rId5"/>
    <sheet name="8-էլ-էներգիա-ջեռուցում" sheetId="6" r:id="rId6"/>
    <sheet name="9-գազով ջեռուցում" sheetId="7" r:id="rId7"/>
    <sheet name="10-գործուղում" sheetId="8" r:id="rId8"/>
    <sheet name="11-ավտոմեքենա" sheetId="9" r:id="rId9"/>
    <sheet name="12-վարչական սարքավորումներ" sheetId="10" r:id="rId10"/>
    <sheet name="14տարածքներ" sheetId="11" r:id="rId11"/>
    <sheet name="15կառուցվածք" sheetId="12" r:id="rId12"/>
    <sheet name="16հաստիքացուցակ" sheetId="13" r:id="rId13"/>
    <sheet name="30ամփոփ-ցուցանիշներ" sheetId="14" r:id="rId14"/>
  </sheets>
  <definedNames>
    <definedName name="_xlnm.Print_Titles" localSheetId="1">'2-ԸՆԴԱՄԵՆԸ ԾԱԽՍԵՐ'!$6:$8</definedName>
  </definedNames>
  <calcPr fullCalcOnLoad="1"/>
</workbook>
</file>

<file path=xl/sharedStrings.xml><?xml version="1.0" encoding="utf-8"?>
<sst xmlns="http://schemas.openxmlformats.org/spreadsheetml/2006/main" count="1968" uniqueCount="974">
  <si>
    <t>.</t>
  </si>
  <si>
    <t>x</t>
  </si>
  <si>
    <t>I</t>
  </si>
  <si>
    <t>II</t>
  </si>
  <si>
    <t>III</t>
  </si>
  <si>
    <t>IY</t>
  </si>
  <si>
    <t>NN</t>
  </si>
  <si>
    <t>*</t>
  </si>
  <si>
    <t>N</t>
  </si>
  <si>
    <t>V</t>
  </si>
  <si>
    <t xml:space="preserve">Ձև N  1 </t>
  </si>
  <si>
    <t>Կառավարման  ապարատ</t>
  </si>
  <si>
    <t xml:space="preserve">Հայտատուի  անվանումը </t>
  </si>
  <si>
    <t>հաստատված բյուջե</t>
  </si>
  <si>
    <t>բյուջետային  հայտ</t>
  </si>
  <si>
    <t>Ծառայողական  ավտոմեքենաների  քանակը</t>
  </si>
  <si>
    <t>ԸՆԴԱՄԵՆԸ  ԾԱԽՍԵՐ</t>
  </si>
  <si>
    <t xml:space="preserve">Ձև N  2 </t>
  </si>
  <si>
    <t>կոդը</t>
  </si>
  <si>
    <t>ԸՆԹԱՑԻԿ  ԾԱԽՍԵՐ</t>
  </si>
  <si>
    <t xml:space="preserve"> -Աշխատողների աշխատավարձեր և հավելավճարներ</t>
  </si>
  <si>
    <t xml:space="preserve"> - Պարգևատրումներ, դրամական խրախուսումներ և հատուկ վճարներ</t>
  </si>
  <si>
    <t xml:space="preserve"> -Քաղաքացիական, դատական և պետական ծառայողների պարգևատրում </t>
  </si>
  <si>
    <t>Էներգետիկ ծառայություններ</t>
  </si>
  <si>
    <t>Կոմունալ ծառայություններ</t>
  </si>
  <si>
    <t>Ջրամատակարարման և ջրահեռացման ծառայություններ</t>
  </si>
  <si>
    <t>Կապի ծառայություններ</t>
  </si>
  <si>
    <t>Ապահովագրական ծախսեր</t>
  </si>
  <si>
    <t>Գույքի և սարքավորումների վարձակալություն</t>
  </si>
  <si>
    <t>Արտագերատեսչական ծախսեր</t>
  </si>
  <si>
    <t>Ներքին  գործուղումներ</t>
  </si>
  <si>
    <t>Արտասահմանյան գործուղումների գծով ծախսեր</t>
  </si>
  <si>
    <t>Վարչական ծառայություններ</t>
  </si>
  <si>
    <t>Համակարգչային ծառայություններ</t>
  </si>
  <si>
    <t>Տեղեկատվական ծառայություններ</t>
  </si>
  <si>
    <t>Կառավարչական ծառայություններ</t>
  </si>
  <si>
    <t>Կենցաղային և հանրային սննդի ծառայություններ</t>
  </si>
  <si>
    <t>Ներկայացուցչական  ծախսեր</t>
  </si>
  <si>
    <t>Ընդհանուր բնույթի այլ ծառայություններ</t>
  </si>
  <si>
    <t>Մասնագիտական ծառայություններ</t>
  </si>
  <si>
    <t>Շենքերի և կառույցների ընթացիկ նորոգում և պահպանում</t>
  </si>
  <si>
    <t>Մեքենաների և սարքավորումների ընթացիկ նորոգում և պահպանում</t>
  </si>
  <si>
    <t>Ավտոմեքենաների ընթացիկ նորոգում և պահպանում</t>
  </si>
  <si>
    <t>Սարքավորումների ընթացիկ նորոգում և պահպանում</t>
  </si>
  <si>
    <t>Գրասենյակային նյութեր և հագուստ</t>
  </si>
  <si>
    <t>Գրասենյակային պիտույքներ</t>
  </si>
  <si>
    <t>Հագուստ և համազգեստ</t>
  </si>
  <si>
    <t>Հատուկ նպատակային այլ նյութեր</t>
  </si>
  <si>
    <t>Սուբսիդիաներ ոչ ֆինանսական պետական կազմակերպություններին</t>
  </si>
  <si>
    <t>Ընթացիկ դրամաշնորհներ միջազգային կազմակերպություններին</t>
  </si>
  <si>
    <t>Այլ նպաստներ բյուջեից</t>
  </si>
  <si>
    <t>Այլ հարկեր</t>
  </si>
  <si>
    <t>Պարտադիր վճարներ</t>
  </si>
  <si>
    <t>Այլ  ծախսեր</t>
  </si>
  <si>
    <t>Պահուստային միջոցներ</t>
  </si>
  <si>
    <t>այդ  թվում`</t>
  </si>
  <si>
    <t xml:space="preserve"> ՈՉ ՖԻՆԱՆՍԱԿԱՆ ԱԿՏԻՎՆԵՐԻ ԳԾՈՎ ԾԱԽՍԵՐ</t>
  </si>
  <si>
    <t xml:space="preserve">Տրանսպորտային սարքավորումներ </t>
  </si>
  <si>
    <t>Վարչական  սարքավորումներ</t>
  </si>
  <si>
    <t>Այլ մեքենաներ և սարքավորումներ</t>
  </si>
  <si>
    <t xml:space="preserve">Ոչ նյութական հիմնական միջոցներ </t>
  </si>
  <si>
    <t>Հ Ա Շ Վ Ա Ր Կ</t>
  </si>
  <si>
    <t>Բաժանորդային վարձ</t>
  </si>
  <si>
    <t xml:space="preserve"> Հեռախոսային խոսակցություններ</t>
  </si>
  <si>
    <t xml:space="preserve">Փոքր ունակությամբ (PABX) հեռախոսակայան ներ չշահագործող մարմին ների սովորական հեռախո սի բաժանորդային վարձ (տարեկան) </t>
  </si>
  <si>
    <t xml:space="preserve">Փոքր ունակությամբ (PABX) հեռախոսակայան ներ շահագործող մարմին ների սովորական հեռախո սի բաժանորդային վարձ (տարեկան) </t>
  </si>
  <si>
    <t>Ընդամենը սովորական հեռախոսի բաժանորդային վարձ (տարեկան)</t>
  </si>
  <si>
    <t>քանակը</t>
  </si>
  <si>
    <t>(դրամ)</t>
  </si>
  <si>
    <t xml:space="preserve">տեղական ելից հեռախոսային խոսակցություններ </t>
  </si>
  <si>
    <t xml:space="preserve"> (րոպե)</t>
  </si>
  <si>
    <t>դրամ</t>
  </si>
  <si>
    <t xml:space="preserve">Ընդամենը հեռախոսային խոսակցություն ների համար սահմանվող ամսական վճար </t>
  </si>
  <si>
    <t xml:space="preserve">Հեռախոսային խոսակցություն ների տարեկան սահմանաչափ </t>
  </si>
  <si>
    <t>Փոստային կապի ծառայություններ</t>
  </si>
  <si>
    <t>Ընդամենը կապի ծառայությունների վճարներ (տարեկան)</t>
  </si>
  <si>
    <t>Հաստիքը  կամ  ստորաբաժանումը</t>
  </si>
  <si>
    <t>Պետական մարմին - ընդամենը աշխատողների թիվը</t>
  </si>
  <si>
    <t>Ղեկավար</t>
  </si>
  <si>
    <t>Ղեկավարի տեղակալ /անդամներ/</t>
  </si>
  <si>
    <t>Ղեկավարի խորհրդական</t>
  </si>
  <si>
    <t>Ղեկավարի օգնական</t>
  </si>
  <si>
    <t>Ղեկավարի մամուլի քարտուղար</t>
  </si>
  <si>
    <t>Աշխատակազմի ղեկավար</t>
  </si>
  <si>
    <t>Աշխատակազմի ղեկավարի տեղակալ</t>
  </si>
  <si>
    <t>Աշխատակազմի առանձնացված ստորաբաժանման ղեկավար</t>
  </si>
  <si>
    <t>Աշխատակազմի առանձնացված ստորաբաժանման տարածքային մարմնի ղեկավար</t>
  </si>
  <si>
    <t>Աշխատակազմի առանձնացված ստորաբաժանում</t>
  </si>
  <si>
    <t>Աշխատակազմի առանձնացված ստորաբաժանման տարածքային մարմին</t>
  </si>
  <si>
    <t>Աշխատակազմի կառուցվածքային ստորաբաժանման ղեկավար</t>
  </si>
  <si>
    <t>Աշխատակազմի արտաքին կապերի վարչություն</t>
  </si>
  <si>
    <t>Աշխատակազմի վարչություն /քարտուղարություն/</t>
  </si>
  <si>
    <t>Աշխատակազմի ինքնուրույն բաժին</t>
  </si>
  <si>
    <t>Աշխատակազմի քարտուղարություն</t>
  </si>
  <si>
    <t>Տեխնիկական սպասարկում իրականացնող անձնակազմ</t>
  </si>
  <si>
    <t>Յուրաքանչյուր 4 կամ 5 միավորի համար մեկական հեռախոսագիծ (բացառությամբ տեխնիկական սպասարկողների)</t>
  </si>
  <si>
    <t>Ընդամենը</t>
  </si>
  <si>
    <t>հ/հ</t>
  </si>
  <si>
    <t>Ձև N 7</t>
  </si>
  <si>
    <t>Ձև N 8</t>
  </si>
  <si>
    <t>Համակար     գիչների քանակը  (հատ)</t>
  </si>
  <si>
    <t xml:space="preserve">Հզորությունը </t>
  </si>
  <si>
    <t>Շահագործ  ման ժամերի տարեկան քանակը</t>
  </si>
  <si>
    <t>Շենքերի և շինություն ների մակերեսը (քառ/մետր)</t>
  </si>
  <si>
    <t>Տարեկան ծախսի նորմը (կվտ.ժ)</t>
  </si>
  <si>
    <t>Ընդամենը  տարեկան ծախսի նորմը (կվտ.ժ)</t>
  </si>
  <si>
    <t>Ընդամենը էլեկտրաէներ  գիայի ծախս               (հազ. դրամ)</t>
  </si>
  <si>
    <t xml:space="preserve"> Այլ հատուկ սարքեր /վերելակներ, ներքին հեռախոսակայաններ, արտաքին լուսավորություն և այլն/</t>
  </si>
  <si>
    <t>Լուսավորության և կենցաղային սարքերի ծախսի, առանց օդի լավորակման դեպքում` շենքերի և շինությունների 1 քառ/մետր մակերեսի համար</t>
  </si>
  <si>
    <t>Համակարգիչների` 1 հատի համար, որը ներառում է տպիչ սարքերի և այլ կազմտեխնիկայի ծախսը, 8-ժամյա աշխատանքային օրվա համար</t>
  </si>
  <si>
    <t>այդ թվում`</t>
  </si>
  <si>
    <t>Ձև N 9</t>
  </si>
  <si>
    <t>Բնակավայրը</t>
  </si>
  <si>
    <t>Շենքի տեսակը  (քար / պանելային,   միաձույլ)</t>
  </si>
  <si>
    <t xml:space="preserve">Շենքի ծավալը (խոր/մետր) հաշվարկված արտաքին չափերով </t>
  </si>
  <si>
    <t>այդ թվում` զբաղեցրած տարածքի ծավալը (խոր. մետր)</t>
  </si>
  <si>
    <t xml:space="preserve">քար </t>
  </si>
  <si>
    <t>Ընդամենը ջեռուցման համար էլեկտրաէներգիայի ծախս               (հազ. դրամ)</t>
  </si>
  <si>
    <t>Ձև N 10</t>
  </si>
  <si>
    <t>Շենքի տեսակը  (քար / պանելային,  միաձույլ)</t>
  </si>
  <si>
    <t xml:space="preserve">Շենքի ընդհանուր ծավալը (խոր/մետր) հաշվարկված արտաքին չափերով </t>
  </si>
  <si>
    <t>Ջերմային էներգիայի տարեկան ծախսի նորմը                   (Գկալ/ խոր.մետր)</t>
  </si>
  <si>
    <t>Ընդամենը  տարեկան ծախսի նորմը (Գկալ/ խոր.մետր)</t>
  </si>
  <si>
    <t xml:space="preserve"> Բնական գազով աշխատող կաթսաներ (խոր/մետր)</t>
  </si>
  <si>
    <t>Բնական գազով աշխատող անհատական ջեռուցիչ սարքեր, վառարաններ</t>
  </si>
  <si>
    <t>Հեղուկ վառելիք անհատական ջեռուցիչ սարքերի, վառարանների համար (կգ)</t>
  </si>
  <si>
    <t>Ընդամենը  տարեկան ծախս          (Գկալ/ խոր.մետր)</t>
  </si>
  <si>
    <t>Սակագինը (հազ. դրամ)</t>
  </si>
  <si>
    <t>Ընդամենը ջեռուցման  ծախս                        (հազ. դրամ)</t>
  </si>
  <si>
    <t>պանելային,  միաձույլ</t>
  </si>
  <si>
    <t>ՀՀ կառավարության 2005 թվականի ապրիլի 28-ի N 629-Ն որոշման պահանջներին համապատասխան:</t>
  </si>
  <si>
    <t>N 1,2 և 3 ձևերը լրացվում են`</t>
  </si>
  <si>
    <t>Ձև N 11</t>
  </si>
  <si>
    <t>Տ Ե Ղ Ե Կ Ա Ն Ք</t>
  </si>
  <si>
    <t xml:space="preserve">գործուղման ծախսերի հաշվարկման վերաբերյալ </t>
  </si>
  <si>
    <t xml:space="preserve">հազ. դրամ </t>
  </si>
  <si>
    <t>Գործուղման վայրեր</t>
  </si>
  <si>
    <t>Գործուղման տևողությունը</t>
  </si>
  <si>
    <t>Գործուղման մեկնողների թիվը</t>
  </si>
  <si>
    <t>Օրապահիկ</t>
  </si>
  <si>
    <t>Վճարը 1 օրվա համար</t>
  </si>
  <si>
    <t>Ճանապարհածախսը  1 անձի համար մեկ ուղղությամբ</t>
  </si>
  <si>
    <t>Ընդամենը ծախսեր</t>
  </si>
  <si>
    <t>Գիշերավարձ</t>
  </si>
  <si>
    <t>Ճանապարհածախս              1 անձի համար մեկ ուղղությամբ</t>
  </si>
  <si>
    <t xml:space="preserve">Ծախսերի տարբերու թյունը             </t>
  </si>
  <si>
    <t>Ձև N 12</t>
  </si>
  <si>
    <t>Ավտոմեքենայի  մակնիշը</t>
  </si>
  <si>
    <t>Թողարկման տարեթիվը</t>
  </si>
  <si>
    <t>Ձեռքբերման արժեքը   /հազ.դրամ/</t>
  </si>
  <si>
    <t>Մաշվածության գումարը /հազ.դրամ/</t>
  </si>
  <si>
    <t>Մաշվածության %-ը</t>
  </si>
  <si>
    <t>Հաշվեկշռային (մնացոր դային)  արժեքը /հազ.դրամ/</t>
  </si>
  <si>
    <t>Քանակը</t>
  </si>
  <si>
    <t>Մեկ միավորի գինը     /հազ.  դրամ/</t>
  </si>
  <si>
    <t>Ընդամենը ծախսեր /հազ.  դրամ/</t>
  </si>
  <si>
    <t xml:space="preserve">Այդ թվում` </t>
  </si>
  <si>
    <t>Ապրանքի  անվանումը</t>
  </si>
  <si>
    <t>Չափի միավորը</t>
  </si>
  <si>
    <t>Ձեռքբեր ման  տարեթիվը</t>
  </si>
  <si>
    <t>Սկզբնական արժեքը   /հազ.դրամ/</t>
  </si>
  <si>
    <t>Տեխնիկայի միջոցներ /համակարգիչներ, տպիչներ, պատճենահանման սարքեր և այլ/</t>
  </si>
  <si>
    <t>Գրասենյակային գույք</t>
  </si>
  <si>
    <t>Ընդամենը վարչական սարքավորումներ</t>
  </si>
  <si>
    <t xml:space="preserve">ՙ'Հայաստանի Հանրապետության պետական մարմինների գծով Հայաստանի Հանրապետության պետական բյուջեի նախագծում բյուջետային ծախսերի առանձին տեսակների` ջեռուցման, վառելիքի և էլեկտրաէներգիայի ձեռք բերման ծավալների հաշվարկման հիմքում դրվող նորմաները հաստատելու մասին՚ </t>
  </si>
  <si>
    <t>Ձև N 15</t>
  </si>
  <si>
    <t>Կառուցվածքային ստորաբաժանումների անվանումը</t>
  </si>
  <si>
    <t>Հաստիքային միավորների թիվը</t>
  </si>
  <si>
    <t xml:space="preserve">Վարչություններ </t>
  </si>
  <si>
    <t>Քարտուղարություն</t>
  </si>
  <si>
    <t>Բաժիններ</t>
  </si>
  <si>
    <t>/դրամ/</t>
  </si>
  <si>
    <t>Տարբերությունը</t>
  </si>
  <si>
    <t>Հաստիքային ցուցակի համեմատական</t>
  </si>
  <si>
    <t>Անուն, Ազգանուն</t>
  </si>
  <si>
    <t>Պաշտոնի անվանումը</t>
  </si>
  <si>
    <t>Պաշտոնի    կոդը</t>
  </si>
  <si>
    <t>Բարձր լեռնային վայրերում աշխատելու համար հավելում</t>
  </si>
  <si>
    <t>Այլ հավելա վճարներ</t>
  </si>
  <si>
    <t xml:space="preserve">Ըստ հաստատված կառուցվածքային ստորաբաժանումների </t>
  </si>
  <si>
    <t>Վարչություն /բաժին/</t>
  </si>
  <si>
    <t>Ընդամենը ըստ ստորաբաժանման</t>
  </si>
  <si>
    <t>Ընդամենը քաղաքացիական /պետական, հատուկ/ ծառայողներ</t>
  </si>
  <si>
    <t>Ընդամենը  ըստ  պետական կառավարման  մարմնի</t>
  </si>
  <si>
    <t xml:space="preserve">Ընդամենը </t>
  </si>
  <si>
    <t xml:space="preserve">  4111</t>
  </si>
  <si>
    <t xml:space="preserve">  4112</t>
  </si>
  <si>
    <t>4113</t>
  </si>
  <si>
    <t>Շենքերի պահպանման ծառայություններ /դեռատիզացիա/</t>
  </si>
  <si>
    <t>աղբահանություն</t>
  </si>
  <si>
    <t>այլ</t>
  </si>
  <si>
    <t>ավտոմեքենաների տեխզննություն և բնապահպանական վճար</t>
  </si>
  <si>
    <t>Ընթացիկ սուբվենցիաներ համայնքներին</t>
  </si>
  <si>
    <t>Հաստիքային  միավորների  թիվը</t>
  </si>
  <si>
    <t>Էլեկտրաէներգիայով ջեռուցման ծառայություններ</t>
  </si>
  <si>
    <t xml:space="preserve">Հիմնավորումներ 8-րդ սյունակում ներկայացված փոփոխությունների վերաբերյալ  </t>
  </si>
  <si>
    <t xml:space="preserve">միջազգային ելից հեռախոսային  խոսակցություններ, այդ թվում` ֆաքսի միլային  միջազգային հաղորդագրություններ </t>
  </si>
  <si>
    <t xml:space="preserve">միջքաղաքային և դեպի բջջային ցանց ելից հեռախոսային խոսակցություններ, այդ թվում` ֆաքսիմիլային  միջքաղաքային հաղորդագրություններ </t>
  </si>
  <si>
    <r>
      <t xml:space="preserve">Ում է սպասարկում /նշել զբաղեցրած պաշտոնը/ </t>
    </r>
    <r>
      <rPr>
        <b/>
        <i/>
        <sz val="10"/>
        <color indexed="10"/>
        <rFont val="GHEA Grapalat"/>
        <family val="3"/>
      </rPr>
      <t>ենթակա է պարտադիր լրացման</t>
    </r>
  </si>
  <si>
    <t>Սահմանվող պաշտոնային դրույքաչափը /դրամ/</t>
  </si>
  <si>
    <t>…</t>
  </si>
  <si>
    <t>Բաժանորդային վարձի սակագինը ըստ կապի օպերատորի հետ կնքված պայմանագրի (ՀՀ դրամով` առանց ԱԱՀ-ի)</t>
  </si>
  <si>
    <t>Տրանսպորտային նյութեր</t>
  </si>
  <si>
    <t xml:space="preserve">Գյուղատնտեսական ապրանքներ </t>
  </si>
  <si>
    <t xml:space="preserve">Կենցաղային և հանրային սննդի նյութեր </t>
  </si>
  <si>
    <t>Ց Ա Ն Կ</t>
  </si>
  <si>
    <t xml:space="preserve">ՀՀ պետական մարմինների ծառայողական ավտոմեքենաների վերաբերյալ   </t>
  </si>
  <si>
    <t>ՀՀ պետական մարմինների տեխնիկայի միջոցների և գրասենյակային գույքի վերաբերյալ</t>
  </si>
  <si>
    <t>Պետական մարմնի կառուցվածքի և աշխատողների թվի վերաբերյալ</t>
  </si>
  <si>
    <t xml:space="preserve">Հայեցողական պաշտոններ </t>
  </si>
  <si>
    <t>խորհրդական</t>
  </si>
  <si>
    <t>օգնական</t>
  </si>
  <si>
    <t>Տեխնիկական սպասարկում իրականացնող և քաղաքացիական աշխատանք կատարող անձնակազմ</t>
  </si>
  <si>
    <t>IV</t>
  </si>
  <si>
    <t xml:space="preserve">Ընդամենը աշխատողների թվաքանակը </t>
  </si>
  <si>
    <t>Նշել մարմնի կառուցվածքը  հաստատող  համապատասխան իրավական ակտի տարեթիվը և համարը</t>
  </si>
  <si>
    <t xml:space="preserve">Ընդամենը ամսական աշխատա վարձ  </t>
  </si>
  <si>
    <t>Ընդամենը ամսական աշխատավարձ</t>
  </si>
  <si>
    <t>Ընդամենը ամսական աշխատավարձ  /ս.8+ս.9+ս.10/</t>
  </si>
  <si>
    <t>Ձև N 16</t>
  </si>
  <si>
    <t xml:space="preserve"> /հազ. դրամ/</t>
  </si>
  <si>
    <t>/հազ. դրամ/</t>
  </si>
  <si>
    <t>Մաշվածությունը (տարեկան 12%)</t>
  </si>
  <si>
    <t>Պետական մարմնի կողմից զբաղեցված տարածքների</t>
  </si>
  <si>
    <t>Զբաղեցվող տարածքի գտնվելու հասցեն</t>
  </si>
  <si>
    <t>Ընդամենը՝</t>
  </si>
  <si>
    <t>Տարեկան վարձավճարի գումարը                   (հազ դրամ)</t>
  </si>
  <si>
    <t>Տարածքը (քառ մետր)</t>
  </si>
  <si>
    <t>Պետական մարմնի ստորաբաժանման անվանումը, որի կողմից զբաղեցված է համապատասխան տարածքը</t>
  </si>
  <si>
    <t>2020թ.</t>
  </si>
  <si>
    <t>Ընթացիկ դրամաշնորհներ պետական կառավարման հատվածին</t>
  </si>
  <si>
    <t>Աշխատակազմի մասնագիտական զարգացման ծառայություններ</t>
  </si>
  <si>
    <t>4639</t>
  </si>
  <si>
    <t>Այլ ընթացիկ դրամաշնորհներ</t>
  </si>
  <si>
    <t>Բյուջետային ծախսերի տնտ. դասակարգման հոդվածի անվանումը</t>
  </si>
  <si>
    <t>այդ  թվում՝</t>
  </si>
  <si>
    <t xml:space="preserve">  փաստացի  կատարո ղական</t>
  </si>
  <si>
    <t>Գազով ջեռուցման ծառայություններ</t>
  </si>
  <si>
    <t>Բյուջետային ծախսերի տնտեսագիտական դասակարգման հոդվածի անվանումը</t>
  </si>
  <si>
    <t>Կապի այլ ծառայություններ</t>
  </si>
  <si>
    <t>(ս.4 x բաժանորդային վարձ (առանց ԱԱՀ) x 12ամիս) դրամ</t>
  </si>
  <si>
    <r>
      <t xml:space="preserve">ԸՆԴԱՄԵՆԸ                        (ներառյալ՝ </t>
    </r>
    <r>
      <rPr>
        <i/>
        <sz val="10"/>
        <rFont val="GHEA Grapalat"/>
        <family val="3"/>
      </rPr>
      <t>ԱԱՀ-ն)</t>
    </r>
  </si>
  <si>
    <t>Ընդամենը  տարեկան ծախսի նորմը (կվտ/ժ)</t>
  </si>
  <si>
    <t xml:space="preserve">Ջերմային էներգիայի տարեկան ծախսի նորմը` կվտ/Ժ/ խոր.մետր                 </t>
  </si>
  <si>
    <t>համաձայն ՀՀ կառավարության 2005 թվականի փետրվարի 17-ի N 194-Ն որոշմամբ հաստատված կարգի</t>
  </si>
  <si>
    <t>Առկա մեքենաներ</t>
  </si>
  <si>
    <t>հոդվածի կոդը</t>
  </si>
  <si>
    <t>Ձև N 3</t>
  </si>
  <si>
    <t xml:space="preserve">Ձև N  4 </t>
  </si>
  <si>
    <t>ՎԱՐՁԱԿԱԼՈՒԹՅԱՄԲ</t>
  </si>
  <si>
    <t>ՍԵՓԱԿԱՆՈՒԹՅԱՆ ԻՐԱՎՈՒՆՔՈՎ</t>
  </si>
  <si>
    <t xml:space="preserve">ԱՆՀԱՏՈՒՅՑ ՕԳՏԱԳՈՐԾՄԱՆ </t>
  </si>
  <si>
    <t>Տարածքը զբաղեցնելու իրավական հիմքը (համապատասխան իրավական ակտի, Վարձակալության պայմանագրի կամ սեփականության վկայականի համարը)</t>
  </si>
  <si>
    <t>լրացնել ապրանքի կամ ծառայության նկարագրությունը</t>
  </si>
  <si>
    <t>Ծառայողական գործուղումների գծով ծախսեր</t>
  </si>
  <si>
    <t xml:space="preserve">Տվյալ տարածքում վճարման ենթակա ընդամենը կոմունալ ծախսը                  </t>
  </si>
  <si>
    <t>Էլեկտրաէներգիա (լուսավորություն)  /հազ դրամ/</t>
  </si>
  <si>
    <t>Էլեկտրաէներգիա (ջեռուցում)           /հազ դրամ/</t>
  </si>
  <si>
    <t>Գազ (ջեռուցում)          /հազ դրամ/</t>
  </si>
  <si>
    <t>Ջուր                   /հազ դրամ/</t>
  </si>
  <si>
    <t>4824</t>
  </si>
  <si>
    <t>Առողջապահական և լաբորատոր նյութեր</t>
  </si>
  <si>
    <t>Բաժին</t>
  </si>
  <si>
    <t>խումբ</t>
  </si>
  <si>
    <t>դաս</t>
  </si>
  <si>
    <t xml:space="preserve"> Ծրագրային դասիչը</t>
  </si>
  <si>
    <t xml:space="preserve"> Ծրագիր</t>
  </si>
  <si>
    <t xml:space="preserve"> Միջոցառում</t>
  </si>
  <si>
    <t xml:space="preserve"> այդ թվում`</t>
  </si>
  <si>
    <t xml:space="preserve">Ընդհանուր գումարը            </t>
  </si>
  <si>
    <t>ենթակա է պարտադիր լրացման</t>
  </si>
  <si>
    <t xml:space="preserve">Բյուջետային ծախսերի տնտեսագիտական դասակարգման մյուս հոդվածների գծով ավելացնել նոր տողեր՝ ըստ անհրաժեշտության </t>
  </si>
  <si>
    <t>Պետական հատվածի տարբեր մակարդակների կողմից միմյանց նկատմամբ կիրառվող տույժեր</t>
  </si>
  <si>
    <t>Գլխավոր քարտուղար</t>
  </si>
  <si>
    <t>Գլխավոր քարտուղարի տեղակալ</t>
  </si>
  <si>
    <t xml:space="preserve">Կառուցվածքային ստորաբաժանումներ՝  </t>
  </si>
  <si>
    <t xml:space="preserve">այդ թվում` </t>
  </si>
  <si>
    <t>Հիմնական մասնագիտական կառուցվածքային ստորաբաժանումներ</t>
  </si>
  <si>
    <t>2)</t>
  </si>
  <si>
    <t>1)</t>
  </si>
  <si>
    <t>Աջակցող մասնագիտական կառուցվածքային ստորաբաժանումներ</t>
  </si>
  <si>
    <t>Գրասենյակ, գործակալություն</t>
  </si>
  <si>
    <t xml:space="preserve">Ղեկավար պաշտոններ </t>
  </si>
  <si>
    <t>Քաղաքացիական աշխատանք կատարող և տեխնիկական սպասարկում իրականացնող անձնակազմ</t>
  </si>
  <si>
    <r>
      <t>*</t>
    </r>
    <r>
      <rPr>
        <sz val="8"/>
        <rFont val="GHEA Grapalat"/>
        <family val="3"/>
      </rPr>
      <t xml:space="preserve">Սահմանվող պաշտոնային դրույքաչափը /ս.7 x բազային աշխատավարձ/ </t>
    </r>
  </si>
  <si>
    <t xml:space="preserve"> Բյուջետային հատկացումների ծրագրերի և միջոցառումների անվանումները</t>
  </si>
  <si>
    <t>Հայեցողական պաշտոններ /խորհրդական, օգնական, մամուլի քարտուղար/</t>
  </si>
  <si>
    <r>
      <t>ԱՇԽԱՏԱՆՔԻ  ՎԱՐՁԱՏՐՈՒԹՅՈՒՆ</t>
    </r>
    <r>
      <rPr>
        <b/>
        <sz val="12"/>
        <color indexed="10"/>
        <rFont val="GHEA Grapalat"/>
        <family val="3"/>
      </rPr>
      <t xml:space="preserve">  </t>
    </r>
  </si>
  <si>
    <t>Մարմնի ղեկավար</t>
  </si>
  <si>
    <t>Մարմնի ղեկավարի տեղակալ</t>
  </si>
  <si>
    <t>Լուսավորության և կենցաղային սարքերի ծախսի, օդի լավորակման դեպքում` շենքերի և շինությունների 1քառ/մետր մակերեսի համար</t>
  </si>
  <si>
    <t>Ձև N 30</t>
  </si>
  <si>
    <t>Ամփոփ ցուցանիշներ</t>
  </si>
  <si>
    <t>/գերատեսչության անվանումը/</t>
  </si>
  <si>
    <t>Ցուցանիշը</t>
  </si>
  <si>
    <t>Պետական հիմնարկ (ապարատ)</t>
  </si>
  <si>
    <t>Արդյունքի կատարողականի ցուցանիշ</t>
  </si>
  <si>
    <t>Ա.</t>
  </si>
  <si>
    <t>Բյուջե, այդ թվում՝ մուտքեր</t>
  </si>
  <si>
    <t>Պետական բյուջեից</t>
  </si>
  <si>
    <t>Համայնքային բյուջեից</t>
  </si>
  <si>
    <t>Այլ աղբյուրներից</t>
  </si>
  <si>
    <t>Բ.</t>
  </si>
  <si>
    <t>Ընդամենը աշխատողների թիվը</t>
  </si>
  <si>
    <t>այդ թվում՝</t>
  </si>
  <si>
    <t>1.1.</t>
  </si>
  <si>
    <t>սահմանված թվաքանակ</t>
  </si>
  <si>
    <t>1.2.</t>
  </si>
  <si>
    <t>պայմանագրային աշխատողներ՝ սահմանված թվաքանակից ավելի</t>
  </si>
  <si>
    <t>Ղեկավար պաշտոնների և նրանց սպասարկող աշխատողների թիվը</t>
  </si>
  <si>
    <t>2.1.</t>
  </si>
  <si>
    <t>ղեկավար, տեղակալ, պետական ծառայության ղեկավար պաշտոններ,                                     այդ թվում՝</t>
  </si>
  <si>
    <t>2.1.1</t>
  </si>
  <si>
    <t>ղեկավար, տեղակալ</t>
  </si>
  <si>
    <t>2.1.2</t>
  </si>
  <si>
    <t>պետական ծառայության ղեկավար պաշտոններ</t>
  </si>
  <si>
    <t>2.2.</t>
  </si>
  <si>
    <t>ղեկավար պաշտոններին սպասարկող հայեցողական պաշտոններ (խորհրդական, օգնական)</t>
  </si>
  <si>
    <t>2.3.</t>
  </si>
  <si>
    <t>ղեկավար պաշտոններին սպասարկող տեխնիկական աշխատողներ (գործավար, վարորդ)</t>
  </si>
  <si>
    <t>Միջին ամսական աշխատավարձ (տարեկան աշխատավարձի ֆոնդ/թվաքանակ/12)</t>
  </si>
  <si>
    <t xml:space="preserve">Զբաղեցված վարչական տարածքը </t>
  </si>
  <si>
    <t>4.1.</t>
  </si>
  <si>
    <r>
      <t>անհատույց օգտագործման կամ սեփականության իրավունքով (</t>
    </r>
    <r>
      <rPr>
        <i/>
        <sz val="10"/>
        <color indexed="8"/>
        <rFont val="Arial Armenian"/>
        <family val="2"/>
      </rPr>
      <t>քմ</t>
    </r>
    <r>
      <rPr>
        <sz val="11"/>
        <color indexed="8"/>
        <rFont val="Arial Armenian"/>
        <family val="2"/>
      </rPr>
      <t>)</t>
    </r>
  </si>
  <si>
    <r>
      <t>վարձակալությամբ (</t>
    </r>
    <r>
      <rPr>
        <i/>
        <sz val="10"/>
        <color indexed="8"/>
        <rFont val="Arial Armenian"/>
        <family val="2"/>
      </rPr>
      <t>քմ</t>
    </r>
    <r>
      <rPr>
        <sz val="11"/>
        <color indexed="8"/>
        <rFont val="Arial Armenian"/>
        <family val="2"/>
      </rPr>
      <t>)</t>
    </r>
  </si>
  <si>
    <t>4.3.</t>
  </si>
  <si>
    <r>
      <t>տարեկան վարձավճարի չափը (</t>
    </r>
    <r>
      <rPr>
        <i/>
        <sz val="10"/>
        <color indexed="8"/>
        <rFont val="Arial Armenian"/>
        <family val="2"/>
      </rPr>
      <t>հազ դրամ</t>
    </r>
    <r>
      <rPr>
        <sz val="11"/>
        <color indexed="8"/>
        <rFont val="Arial Armenian"/>
        <family val="2"/>
      </rPr>
      <t>)</t>
    </r>
  </si>
  <si>
    <t>Ավտոմեքենաների քանակը</t>
  </si>
  <si>
    <t>5.1.</t>
  </si>
  <si>
    <t>ղեկավարների ծառայողական ավտոմեքենաները</t>
  </si>
  <si>
    <t>5.2.</t>
  </si>
  <si>
    <t>հիմնարկին սպասարկող ավտոմեքենաները</t>
  </si>
  <si>
    <t>Թափուր հաստիքների թիվը</t>
  </si>
  <si>
    <t xml:space="preserve">Ծրագրի վրա կատարվող ծախսը </t>
  </si>
  <si>
    <t>(հազար դրամ)</t>
  </si>
  <si>
    <t xml:space="preserve">Միջոցառման վրա կատարվող ծախսը - ընթացիկ ծախսեր </t>
  </si>
  <si>
    <r>
      <t xml:space="preserve">Միջոցառման վրա կատարվող ծախսը - ոչ ֆինանսական ակտիվների գծով ծախսեր </t>
    </r>
    <r>
      <rPr>
        <sz val="10"/>
        <rFont val="GHEA Grapalat"/>
        <family val="3"/>
      </rPr>
      <t>(Վարչական  սարքավորումներ)</t>
    </r>
  </si>
  <si>
    <t>Գործուղման նպատակը</t>
  </si>
  <si>
    <t>4637</t>
  </si>
  <si>
    <t>Ընթացիկ դրամաշնորհներ պետական և համայնքների ոչ առևտրային կազմակերպություններին</t>
  </si>
  <si>
    <t xml:space="preserve">Աճեցվող ակտիվներ </t>
  </si>
  <si>
    <t xml:space="preserve"> Ընթացիկ դրամաշնորհներ պետական և համայնքային առևտրային կազմակերպություններին</t>
  </si>
  <si>
    <t>2021թ.</t>
  </si>
  <si>
    <t xml:space="preserve">Գործակից /2021թ. հուլիսի 1-ի դրությամբ/  </t>
  </si>
  <si>
    <t>2022թ.</t>
  </si>
  <si>
    <t>2023թ.</t>
  </si>
  <si>
    <t>2022թ. բյուջետային  հայտ</t>
  </si>
  <si>
    <t>2023թ. բյուջետային  հայտ</t>
  </si>
  <si>
    <t>Վարձակալությամբ/ենթավարձակալությամբ գույքը հանձնող սուբյեկտի անվանումը՝ ըստ  պայմանագրի</t>
  </si>
  <si>
    <t xml:space="preserve">2022թ. </t>
  </si>
  <si>
    <t xml:space="preserve">Գործակից /2022թ. հուլիսի 1-ի դրությամբ/  </t>
  </si>
  <si>
    <t xml:space="preserve">Գործակից /2023թ. հուլիսի 1-ի դրությամբ/  </t>
  </si>
  <si>
    <t>Տվյալ պաշտոնում աշխատանքային ստաժը /2022թ. հուլիսի 1-ի դրությամբ/  (տարի/ամիս)</t>
  </si>
  <si>
    <t xml:space="preserve">Ընդամենը ամսական աշխատավարձ  </t>
  </si>
  <si>
    <t>Տվյալ պաշտոնում աշխատանքային ստաժը /2023թ. հուլիսի 1-ի դրությամբ/  (տարի/ամիս)</t>
  </si>
  <si>
    <t>ՊՈԱԿ-ներ</t>
  </si>
  <si>
    <t>Հիմնադրամներ</t>
  </si>
  <si>
    <t>ԾԻԳ</t>
  </si>
  <si>
    <t>Առևտրային կազմակերպություններ</t>
  </si>
  <si>
    <t>2020թ.  փաստացի  կատարողական</t>
  </si>
  <si>
    <t xml:space="preserve"> 2021թ. հաստատված բյուջե</t>
  </si>
  <si>
    <t>2024թ. բյուջետային  հայտ</t>
  </si>
  <si>
    <t>2024թ.</t>
  </si>
  <si>
    <t>Տնտեսագիտական դասակարգման հոդվածների գծով 2022թ. ընթացքում նախատեսվող ծախսերը՝ ըստ ապրանքների և ծառայությունների տեսակների</t>
  </si>
  <si>
    <t>2021թ. հաստատված</t>
  </si>
  <si>
    <t>2022թ. բյուջետային հայտ</t>
  </si>
  <si>
    <t>2022թ. բյուջետային հայտի և  2021թ. հաստատվածի տարբերությունը</t>
  </si>
  <si>
    <t>ՀՀ  պետական  մարմինների 2022վականի  կապի ծառայությունների  վճարների</t>
  </si>
  <si>
    <t>ՀՀ  պետական  մարմինների 2022 թվականի էլեկտրաէներգիայի ծախսերի /բացառությամբ ջեռուցման/</t>
  </si>
  <si>
    <t>ՀՀ  պետական մարմինների վարչական շենքերի և շինությունների 2022 թվականի ջեռուցման համար անհրաժեշտ էլեկտրաէներգիայի ծախսերի</t>
  </si>
  <si>
    <t>2022 թվականի ՀՀ  պետական մարմինների վարչական շենքերի և շինությունների գազով ջեռուցման համար անհրաժեշտ  ծախսերի</t>
  </si>
  <si>
    <t>2020թ. փաստացի</t>
  </si>
  <si>
    <t>առ 01.01.2021թ.</t>
  </si>
  <si>
    <t xml:space="preserve"> 2021թ. ընթացքում գնման ենթակա </t>
  </si>
  <si>
    <t xml:space="preserve">2024թ. </t>
  </si>
  <si>
    <t>2022թ. հայտ</t>
  </si>
  <si>
    <t>4655</t>
  </si>
  <si>
    <t>Կապիտալ դրամաշնորհներ պետական և համայնքային ոչ առևտրային կազմակերպություններին</t>
  </si>
  <si>
    <t xml:space="preserve">Դատարանների կողմից նշանակված տույժեր ու տուգանքներ </t>
  </si>
  <si>
    <t xml:space="preserve">Կառավարման մարմինների գործունեության հետևանքով առաջացած վնասվածքների  կամ վնասների վերականգնում </t>
  </si>
  <si>
    <t>հայտի տարբերությունը 2021թ. հաստատվածի նկատմամբ</t>
  </si>
  <si>
    <t>հայտի տարբերությունը 2020թ. փաստացի կատարողականի նկատմամբ</t>
  </si>
  <si>
    <t xml:space="preserve">Ընդամենը պահպանման ծախսեր </t>
  </si>
  <si>
    <t>սուրհանդակային կապի ծառայություններ/փոստային առաքումներ/</t>
  </si>
  <si>
    <t>փոստային կապի ծառայությունների պայմանագիր նամականիշների ձեռք բերման հետ կապված</t>
  </si>
  <si>
    <t xml:space="preserve">ՀՀ  Վայոց ձորի մարզպետարան </t>
  </si>
  <si>
    <t>ք.Եղեգնաձոր</t>
  </si>
  <si>
    <t xml:space="preserve"> ·³½Ç µ³ßËáõÙ</t>
  </si>
  <si>
    <t xml:space="preserve"> ¿É»Ïïñ³Ï³ÝáõÃÛ³Ý µ³ßËáõÙ</t>
  </si>
  <si>
    <t xml:space="preserve"> ËÙ»Éáõ çñÇ µ³ßËáõÙ</t>
  </si>
  <si>
    <t xml:space="preserve"> ³Ëï³Ñ³ÝÙ³Ý ¨ Ù³Ï³µáõÛÍÝ»ñÇ áãÝã³óÙ³Ý Í³é³ÛáõÃÛáõÝÝ»ñ</t>
  </si>
  <si>
    <t xml:space="preserve"> ÷áëï³ÛÇÝ Í³é³ÛáõÃÛáõÝÝ»ñ` Ï³åí³Í Ý³Ù³ÏÝ»ñÇ Ñ»ï</t>
  </si>
  <si>
    <t xml:space="preserve"> Ý»ñùÇÝ ÷áëï³ÛÇÝ ¨ ëáõñÑ³Ý¹³Ï³ÛÇÝÍ³é³ÛáõÃÛáõÝÝ»ñ </t>
  </si>
  <si>
    <t xml:space="preserve"> ÙÇçù³Õ³ù³ÛÇÝ Ñ»é³Ëáë³ÛÇÝ Í³é³ÛáõÃÛáõÝÝ»ñ</t>
  </si>
  <si>
    <t xml:space="preserve"> ÷áË³¹ñ³ÙÇçáóÝ»ñÇ Ñ»ï Ï³åí³Í ³å³Ñáí³·ñ³Ï³Ý Í³é³ÛáõÃÛáõÝÝ»ñ</t>
  </si>
  <si>
    <t>Ներկայացուցչական ծախսեր</t>
  </si>
  <si>
    <t>Կենցաղային և հանրային սննդի նյութեր</t>
  </si>
  <si>
    <t>Ընդհանուր բնույթի այ ծառայություններ</t>
  </si>
  <si>
    <t>Տրանսպորտային  նյութեր</t>
  </si>
  <si>
    <t>Կառավարչական  ծառայություններ</t>
  </si>
  <si>
    <t>բազմաֆունկցիոնալ  սարք</t>
  </si>
  <si>
    <t>քսերոքս</t>
  </si>
  <si>
    <t>սերվեր</t>
  </si>
  <si>
    <t>սկաներ</t>
  </si>
  <si>
    <t>ներքին համակարգչային ցանց</t>
  </si>
  <si>
    <t>անխափան սնուցման սարք  և  երթուղիչ</t>
  </si>
  <si>
    <t>հաճախումների կառավարման համակարգ</t>
  </si>
  <si>
    <t>անվտանգության տեսախցիկ/համակարգ/</t>
  </si>
  <si>
    <t>Երևան</t>
  </si>
  <si>
    <t>շրջագայություն</t>
  </si>
  <si>
    <t>Մասնագիական վերապատրաստումներ, հրավերքներ ,միջոցառումներ, հանդիպումների ,քննարկումների մասնակցություն ըստ ոլորտների սուբվենցիոն ծրագրարերի քննարկումներ,ուսուցողական ծրագրերի ,գիտելիքների կատարելագործման դասընթացների մասնակցություն, սոցիալակամն ոլորտի վերաբերվող խնդիրների քննարկումներ</t>
  </si>
  <si>
    <t>ՀՀ  Վայոց ձորի մարզպետարան</t>
  </si>
  <si>
    <t>Հայաստանի Հանրապետության  Վայոց ձորի մարզպետարան 01.01.2021թ դրությամբ</t>
  </si>
  <si>
    <t>մարմնի ղեկավարի տեղակալի օգնական</t>
  </si>
  <si>
    <t>Գյուղատնտեսության և բնապահպանության</t>
  </si>
  <si>
    <t>Կրթության,մշակույթի և սպորտի</t>
  </si>
  <si>
    <t>առողջության և սոցիալական ապահովության</t>
  </si>
  <si>
    <t>քաղաքաշինության</t>
  </si>
  <si>
    <t>տեղական ինքնակառավարման և ՀԳՄ հարցերով</t>
  </si>
  <si>
    <t>հողաշինության և հողօգտագործման բաժին-մարզային հողային պետական տեսչություն</t>
  </si>
  <si>
    <t>զարգացման ծրագրերի,զբոսաշրջության և վերլուծության</t>
  </si>
  <si>
    <t xml:space="preserve">ընտանիքի, կանանց և երեխաների իրավունքների պաշտպանության </t>
  </si>
  <si>
    <t>Ֆինանսական և սոցիալ-տնտեսական զարգացման</t>
  </si>
  <si>
    <t>իրավաբանական</t>
  </si>
  <si>
    <t>անձնակազմի կառավարման</t>
  </si>
  <si>
    <t>տեղեկատվության և հասարակայնության հետ կապերի</t>
  </si>
  <si>
    <t>զորահավաքային նախապատրաստության</t>
  </si>
  <si>
    <t xml:space="preserve">   ՀՀ վայոց ձորի մարզպետարան</t>
  </si>
  <si>
    <t>Տվյալ պաշտոնում աշխատանքային ստաժը /2020թ. հուլիսի 1-ի դրությամբ/  (տարի/ամիս)</t>
  </si>
  <si>
    <t xml:space="preserve">Գործակից /2020թ. հուլիսի 1-ի դրությամբ/  </t>
  </si>
  <si>
    <t>Գրիգորյան Արարատ</t>
  </si>
  <si>
    <t>Մարզպետ</t>
  </si>
  <si>
    <t>Ասատրյան Նանե</t>
  </si>
  <si>
    <t>Մարզպետի տեղակալ</t>
  </si>
  <si>
    <t>Մուրադյան Արայիկ</t>
  </si>
  <si>
    <t>Մարգարյան Սյուզան</t>
  </si>
  <si>
    <t>Մարզպետի խորհրդական</t>
  </si>
  <si>
    <t>Ասատրյան Արմինե</t>
  </si>
  <si>
    <t>Մարզպետի օգնական</t>
  </si>
  <si>
    <t>Ստեփանյան Աննա</t>
  </si>
  <si>
    <t>Այվազյան Ռուզաննա</t>
  </si>
  <si>
    <t>Հայրապետյան Աշխեն</t>
  </si>
  <si>
    <t>Մարզպետի տեղակալի  օգնական</t>
  </si>
  <si>
    <t>Քաղաքացիական /պետական,հատուկ/ ծառայողներ</t>
  </si>
  <si>
    <t>գլխավոր քարտուղար</t>
  </si>
  <si>
    <t>99-Ղ2-1</t>
  </si>
  <si>
    <t>1-2</t>
  </si>
  <si>
    <t>0-1</t>
  </si>
  <si>
    <t>2-3</t>
  </si>
  <si>
    <t xml:space="preserve">3-4տ </t>
  </si>
  <si>
    <t xml:space="preserve">      Ֆին սոց տնտ զարգացման վարչություն </t>
  </si>
  <si>
    <t>Վարդանյան Շահեն</t>
  </si>
  <si>
    <t>ֆին և սոցտնտ զարգ վարչ պետ</t>
  </si>
  <si>
    <t>99-1.1-Ղ4-1</t>
  </si>
  <si>
    <t>2 տ 6ամիս</t>
  </si>
  <si>
    <t>1 տ 6ամիս</t>
  </si>
  <si>
    <t>3 տ 6ամիս</t>
  </si>
  <si>
    <t>4 տ 6ամիս</t>
  </si>
  <si>
    <t>Սարգսյան Անահիտ</t>
  </si>
  <si>
    <t>ֆինև սոցտնտ զարգ վարչ ֆինտնտբաժնի պետ</t>
  </si>
  <si>
    <t>99-1.1-Ղ5-1</t>
  </si>
  <si>
    <t>Թարվերդյան Նունե</t>
  </si>
  <si>
    <t>ֆինսոցտնտ զարգ վարչ հաշվապ. հաշվառ բաժնի պետ</t>
  </si>
  <si>
    <t>99-1.1-Ղ4-2</t>
  </si>
  <si>
    <t>Դավթյան Գվիտոն</t>
  </si>
  <si>
    <t>ֆին և սոցտնտ զարգ վարչ ֆինտնտբաժնի գլխ մասնագետ</t>
  </si>
  <si>
    <t>99-1.1-Մ2-1</t>
  </si>
  <si>
    <t xml:space="preserve">2 տ </t>
  </si>
  <si>
    <t xml:space="preserve">1 տ </t>
  </si>
  <si>
    <t xml:space="preserve">3 տ </t>
  </si>
  <si>
    <t xml:space="preserve">4 տ </t>
  </si>
  <si>
    <t>Սաֆարյւան ԱՆՆա</t>
  </si>
  <si>
    <t>ֆինև սոցտնտ զարգ վարչ ֆինտնտբաժնի գլխ մասնագետ</t>
  </si>
  <si>
    <t>99-1.1-Մ2-2</t>
  </si>
  <si>
    <t>8տ 3ամ 10օր</t>
  </si>
  <si>
    <t>7տ 3ամ 10օր</t>
  </si>
  <si>
    <t>9տ 3ամ 10օր</t>
  </si>
  <si>
    <t>10տ 3ամ 10օր</t>
  </si>
  <si>
    <t>Հախվերդյան Ռուզաննա</t>
  </si>
  <si>
    <t>ֆին և սոցտնտ զարգ վարչ հաշվապ. հաշվառ բաժնի գլխ. մասն</t>
  </si>
  <si>
    <t>99-1.1-Մ2-3</t>
  </si>
  <si>
    <t>11տ6 ամ 4 օր</t>
  </si>
  <si>
    <t>10տ6 ամ 4 օր</t>
  </si>
  <si>
    <t>12տ6 ամ 4 օր</t>
  </si>
  <si>
    <t>13տ6 ամ 4 օր</t>
  </si>
  <si>
    <t>Հարությունյան Դուստրիկ</t>
  </si>
  <si>
    <t>ֆինսոցտնտ զարգ վարչ հաշվապ. հաշվառ բաժնի 1-ին կարգի. մասն</t>
  </si>
  <si>
    <t>99-1.1-Մ6-1</t>
  </si>
  <si>
    <t>11տ6 ամիս 4 օր</t>
  </si>
  <si>
    <t>10տ6 ամիս 4 օր</t>
  </si>
  <si>
    <t>12տ6 ամիս 4 օր</t>
  </si>
  <si>
    <t>13տ6 ամիս 4 օր</t>
  </si>
  <si>
    <t xml:space="preserve">   Տեղական ինքնակառավարման և հանրապետական գործադիր մարմինների հարցերով  մարչություն </t>
  </si>
  <si>
    <t>Հարությունյան Աղվան</t>
  </si>
  <si>
    <t>ՏԻ ևՀԳՄ հարցերով վարչության պետ</t>
  </si>
  <si>
    <t>99-1.6-Ղ4-1</t>
  </si>
  <si>
    <t>Հովհաննիսյան Վարդան</t>
  </si>
  <si>
    <t>ՏԻ ևՀԳՄ հարցերով վարչության պետի տեղակալ</t>
  </si>
  <si>
    <t>99-1.6-Ղ5-1</t>
  </si>
  <si>
    <t>ՏԻ ևՀԳՄ հարցերով վարչության գլխ. մասն</t>
  </si>
  <si>
    <t>99-1.6-Մ2-1</t>
  </si>
  <si>
    <t>3տ 6ամ 20 օր</t>
  </si>
  <si>
    <t>Պողոսյան Վարդան</t>
  </si>
  <si>
    <t>ՏԻ ևՀԳՄ հարցերով վարչության առաջ մասն</t>
  </si>
  <si>
    <t>99-1.6-Մ4-1</t>
  </si>
  <si>
    <t>2տ 6ամիս</t>
  </si>
  <si>
    <t xml:space="preserve">Կրթության,մշակույթի և սպորտի վարչություն </t>
  </si>
  <si>
    <t>Ղազարյան Արփիար</t>
  </si>
  <si>
    <t>կրթության,մշակույթի և սպորտի վարչության պետ</t>
  </si>
  <si>
    <t>99-1.4-Ղ4-1</t>
  </si>
  <si>
    <t>Գաբրիելյան Ավագ</t>
  </si>
  <si>
    <t>կրթության,մշակույթի և սպորտի վարչության գլխ. մասնագետ</t>
  </si>
  <si>
    <t>99-1.4-Մ2--1</t>
  </si>
  <si>
    <t>24տ 9ամ 4օր</t>
  </si>
  <si>
    <t>23տ 9ամ 4օր</t>
  </si>
  <si>
    <t>25տ 9ամ 4օր</t>
  </si>
  <si>
    <t>Հովհաննիսյան Աղասի</t>
  </si>
  <si>
    <t>99-1.4-Մ2-3</t>
  </si>
  <si>
    <t>24տ 10ամ 22օր</t>
  </si>
  <si>
    <t>23տ 10ամ 22օր</t>
  </si>
  <si>
    <t>Մխիթարյան Անահիտ</t>
  </si>
  <si>
    <t>կրթության,մշակույթի և սպորտի վարչության առաջ մասնագետ</t>
  </si>
  <si>
    <t>99-1.4-Մ4-1</t>
  </si>
  <si>
    <t>22տ 2օր</t>
  </si>
  <si>
    <t>21տ 2օր</t>
  </si>
  <si>
    <t>Հարությունյան Հուսիկ</t>
  </si>
  <si>
    <t>99-1.4-Մ2-2</t>
  </si>
  <si>
    <t>5տ 2ամ 4օր</t>
  </si>
  <si>
    <t>4տ 2ամ 4օր</t>
  </si>
  <si>
    <t>6տ 2ամ 4օր</t>
  </si>
  <si>
    <t xml:space="preserve">Քաղաքաշինության վարչություն </t>
  </si>
  <si>
    <t>Քաղաքաշինության վարչության պետ</t>
  </si>
  <si>
    <t>99-1.2-Ղ4-1</t>
  </si>
  <si>
    <t xml:space="preserve">1-2 տ </t>
  </si>
  <si>
    <t>0-1տարի</t>
  </si>
  <si>
    <t xml:space="preserve">2-3 տ </t>
  </si>
  <si>
    <t xml:space="preserve">3-4 տ </t>
  </si>
  <si>
    <t xml:space="preserve">Ասլանյան Խաչիկ </t>
  </si>
  <si>
    <t xml:space="preserve">Քաղաքաշինության վարչության տրանս. և ճան.բաժնի պետ </t>
  </si>
  <si>
    <t>99-1.2-Ղ5-1</t>
  </si>
  <si>
    <t>3տ 6ամիս</t>
  </si>
  <si>
    <t>Մինասյան Ռուբիկ</t>
  </si>
  <si>
    <t>Քաղաքաշինության վարչության գլխ մասնագետ</t>
  </si>
  <si>
    <t>99-1.2-Մ2-1</t>
  </si>
  <si>
    <t>19տ  8ամ</t>
  </si>
  <si>
    <t>18տ  8ամ</t>
  </si>
  <si>
    <t>20տ  8ամ</t>
  </si>
  <si>
    <t>Մինասյան Աշոտ</t>
  </si>
  <si>
    <t>99-1.2-Մ2-2</t>
  </si>
  <si>
    <t xml:space="preserve">2տ </t>
  </si>
  <si>
    <t xml:space="preserve">5 տ </t>
  </si>
  <si>
    <t>Հովսեփյան Սամվել</t>
  </si>
  <si>
    <t>Քաղաքաշինության վարչության առաջ. մասնագետ</t>
  </si>
  <si>
    <t>99-1.2-Մ4-1</t>
  </si>
  <si>
    <t>18տ28օր</t>
  </si>
  <si>
    <t>17տ28օր</t>
  </si>
  <si>
    <t>19տ28օր</t>
  </si>
  <si>
    <t>20տ28օր</t>
  </si>
  <si>
    <t>Այվազյան կարինե</t>
  </si>
  <si>
    <t xml:space="preserve">Քաղաքաշինության վարչության տրանս. և ճան.բաժնի առաջ.մասն </t>
  </si>
  <si>
    <t>99-1.2-Մ4-2</t>
  </si>
  <si>
    <t>9տ 11ամիս</t>
  </si>
  <si>
    <t>8տ 11ամիս</t>
  </si>
  <si>
    <t>10տ 11ամիս</t>
  </si>
  <si>
    <t>11տ 11ամիս</t>
  </si>
  <si>
    <t>Մկրտչյան Սուսան</t>
  </si>
  <si>
    <t xml:space="preserve">Քաղաքաշինության վարչության տրանս. և ճան.բաժնի 1-ին կարգի մասն </t>
  </si>
  <si>
    <t>99-1.2-Մ5-1</t>
  </si>
  <si>
    <t>2 տ 20ամիս</t>
  </si>
  <si>
    <t>1 տ 20օր</t>
  </si>
  <si>
    <t>3 տ 20</t>
  </si>
  <si>
    <t>4 տ 20ամիս</t>
  </si>
  <si>
    <t xml:space="preserve">Գյուղատնտեսության և բնապահպանության վարչություն </t>
  </si>
  <si>
    <t>Մարգարյան Գեղամ</t>
  </si>
  <si>
    <t xml:space="preserve">Գյուղատնտեսության և բնապահպանության վարչ. պետ </t>
  </si>
  <si>
    <t>99-1.3-Ղ4-1</t>
  </si>
  <si>
    <t>4տ 6ամիս</t>
  </si>
  <si>
    <t>Սարոյան Նաիրի</t>
  </si>
  <si>
    <t xml:space="preserve">Գյուղատնտեսության և բնապահպանության վարչ. պետի տեղակալ </t>
  </si>
  <si>
    <t>99-1.3-Ղ5-1</t>
  </si>
  <si>
    <t>Խաչատրյան Գոհար</t>
  </si>
  <si>
    <t>Գյուղատնտեսության և բնապահպանության վարչ. գլխ մասն</t>
  </si>
  <si>
    <t>99-1.3-Մ2-1</t>
  </si>
  <si>
    <t>7տ 8ամ 21 օր</t>
  </si>
  <si>
    <t>6տ 8ամ 21 օր</t>
  </si>
  <si>
    <t>8տ 8ամ 21 օր</t>
  </si>
  <si>
    <t>9տ 8ամ 21 օր</t>
  </si>
  <si>
    <t>Թունյան Աշոտ</t>
  </si>
  <si>
    <t>Գյուղատնտեսության և բնապահպանության վարչ.առաջատար  մասն</t>
  </si>
  <si>
    <t>99-1.3-Մ4-1</t>
  </si>
  <si>
    <t>6տ 7ամ 14օր</t>
  </si>
  <si>
    <t>5տ 7ամ 14օր</t>
  </si>
  <si>
    <t>7տ 7ամ 14օր</t>
  </si>
  <si>
    <t>8տ 7ամ 14օր</t>
  </si>
  <si>
    <t xml:space="preserve">Առողջապահության և սոցիալական ապահովության վարչություն </t>
  </si>
  <si>
    <t>Ասլանյան Վասիլ</t>
  </si>
  <si>
    <t xml:space="preserve">Առողջ, և սոցիալական ապահովության վարչության պետ </t>
  </si>
  <si>
    <t>99-1.5-Ղ4-1</t>
  </si>
  <si>
    <t>Կարապետյան Լիլիա</t>
  </si>
  <si>
    <t>Առողջ, և սոցիալական ապահովության վարչության պետի տեղակալ</t>
  </si>
  <si>
    <t>99-1.5-Ղ5-1</t>
  </si>
  <si>
    <t>Սարգսյան Հեղինե</t>
  </si>
  <si>
    <t>Առողջ, և սոցիալական ապահովության վարչության առաջ. մասն</t>
  </si>
  <si>
    <t>99-1.5-Մ3-1</t>
  </si>
  <si>
    <t>Բաբայան Ցողիկ</t>
  </si>
  <si>
    <t>99-1.5-Մ2-1</t>
  </si>
  <si>
    <t>Կարապետյան Արսեն</t>
  </si>
  <si>
    <t>Քարտուղարության պետ</t>
  </si>
  <si>
    <t>99-2-Ղ4-1</t>
  </si>
  <si>
    <t xml:space="preserve">0-1 տ </t>
  </si>
  <si>
    <t>Ընդհանուր բաժին</t>
  </si>
  <si>
    <t>Ղազարյան Փառանձեմ</t>
  </si>
  <si>
    <t>Քարտուղ. ընդհանուր բաժնի պետ</t>
  </si>
  <si>
    <t>99-2-Ղ5-1</t>
  </si>
  <si>
    <t>Քարտուղ. ընդհանուր բաժնի 1-ի կարգի մանսնագետ</t>
  </si>
  <si>
    <t>99-2-Մ6-1</t>
  </si>
  <si>
    <t xml:space="preserve">2-3տ </t>
  </si>
  <si>
    <t>Գևորգյան Թամարա</t>
  </si>
  <si>
    <t>99-2-Մ3-1</t>
  </si>
  <si>
    <t>Վարչատնտեսական բաժին</t>
  </si>
  <si>
    <t>Սմբատյան Արթուր</t>
  </si>
  <si>
    <t>Քարտուղ. վարչատնտ. բաժնի պետ</t>
  </si>
  <si>
    <t>99-2-Ղ5-2</t>
  </si>
  <si>
    <t>Մխիթարյան Վարդան</t>
  </si>
  <si>
    <t>Քարտուղ. վարչատնտ. բաժնի գլխ մասնագետ</t>
  </si>
  <si>
    <t>99-2-Մ2-1</t>
  </si>
  <si>
    <t>15տ 10ամ 23օր</t>
  </si>
  <si>
    <t>14տ 10ամ 23օր</t>
  </si>
  <si>
    <t>16տ 10ամ 23օր</t>
  </si>
  <si>
    <t>17տ 10ամ 23օր</t>
  </si>
  <si>
    <t>Քարտուղ. վարչատնտ. բաժնի 1-ին կարգի մասնագետ</t>
  </si>
  <si>
    <t>99-2-Մ6-2</t>
  </si>
  <si>
    <t>1-2տ</t>
  </si>
  <si>
    <t>Հողաշինության և հողօգտագործման բաժին -մարզային հողային պետական տեսչություն</t>
  </si>
  <si>
    <t>Մեսրոպյան Մեսրոպ</t>
  </si>
  <si>
    <t>Հողաշին. և հողօգտագործման բաժին -մարզային հողային պետական տեսչ. պետ</t>
  </si>
  <si>
    <t>99-3.3-Ղ4-1</t>
  </si>
  <si>
    <t>16տ 8ամ 27օր</t>
  </si>
  <si>
    <t>15տ 8ամ 27օր</t>
  </si>
  <si>
    <t>17տ 8ամ 27օր</t>
  </si>
  <si>
    <t>18տ 8ամ 27օր</t>
  </si>
  <si>
    <t>Խլխաթյան Սմբատ</t>
  </si>
  <si>
    <t>Հողաշին. և հողօգտագործման բաժին -մարզային հողային պետական տեսչ. գլխ մասն.</t>
  </si>
  <si>
    <t>99-3.3-Մ3-1</t>
  </si>
  <si>
    <t xml:space="preserve">16տ 5ամ </t>
  </si>
  <si>
    <t xml:space="preserve">15տ 5ամ </t>
  </si>
  <si>
    <t xml:space="preserve">17տ 5ամ </t>
  </si>
  <si>
    <t xml:space="preserve">18տ 5ամ </t>
  </si>
  <si>
    <t>Հայրապետյան Վահրամ</t>
  </si>
  <si>
    <t>Հողաշին. և հողօգտագործման բաժին -մարզային հողային պետական տեսչ. 1-ին կարգի մասն.</t>
  </si>
  <si>
    <t>99-3.3-Մ6-1</t>
  </si>
  <si>
    <t>Անձնակազմի կառավարման բաժին</t>
  </si>
  <si>
    <t>Արտաշեսյան Մարինե</t>
  </si>
  <si>
    <t>Անձնակազմի կառավարման բաժնի պետ</t>
  </si>
  <si>
    <t>99-3.5-Ղ4-1</t>
  </si>
  <si>
    <t>15տ 4ամ 10օր</t>
  </si>
  <si>
    <t>14տ 4ամ 10օր</t>
  </si>
  <si>
    <t>16տ 4ամ 10օր</t>
  </si>
  <si>
    <t>17տ 4ամ 10օր</t>
  </si>
  <si>
    <t>Դավթյան Սրբուհի</t>
  </si>
  <si>
    <t>Անձնակազմի կառավարման բաժնի ասաջ. մասն.</t>
  </si>
  <si>
    <t>99-3.5-Մ2-1</t>
  </si>
  <si>
    <t>2 տ 7ամիս</t>
  </si>
  <si>
    <t>1 տ 7ամիս</t>
  </si>
  <si>
    <t>3 տ 7ամիս</t>
  </si>
  <si>
    <t>Ընտանիքի, կանանց և երեխաների իրավունք. պաշտպ. բաժին</t>
  </si>
  <si>
    <t>Գրիգորյան Արամ</t>
  </si>
  <si>
    <t>Ընտանիքի, կանանց և երեխաների իրավունք. պաշտպ. բաժնի պետ</t>
  </si>
  <si>
    <t>99-3.4-Ղ4-1</t>
  </si>
  <si>
    <t>6տ 4ամ 28օր</t>
  </si>
  <si>
    <t>5տ 4ամ 28օր</t>
  </si>
  <si>
    <t>7տ 4ամ 28օր</t>
  </si>
  <si>
    <t>8տ 4ամ 28օր</t>
  </si>
  <si>
    <t>Պողոսյան Լուսյա</t>
  </si>
  <si>
    <t>Ընտանիքի, կանանց և երեխաների իրավունք. պաշտպ. բաժնի գլխ մասն</t>
  </si>
  <si>
    <t>99-3.4-Մ3-1</t>
  </si>
  <si>
    <t>15տ 10ամ</t>
  </si>
  <si>
    <t>14տ 10ամ</t>
  </si>
  <si>
    <t>16տ 10ամ</t>
  </si>
  <si>
    <t>17տ 10ամ</t>
  </si>
  <si>
    <t>Հախնազարյան Սուսաննա</t>
  </si>
  <si>
    <t>99-3.4-Մ3-2</t>
  </si>
  <si>
    <t>11տ 5 ամ 7օր</t>
  </si>
  <si>
    <t>10տ 5 ամ 7օր</t>
  </si>
  <si>
    <t>12տ 5 ամ 7օր</t>
  </si>
  <si>
    <t>13տ 5 ամ 7օր</t>
  </si>
  <si>
    <t>Նահապետյան Վարդան</t>
  </si>
  <si>
    <t>Ընտանիքի, կանանց և երեխաների իրավունք. պաշտպ. բաժնի առաջ.մասն</t>
  </si>
  <si>
    <t>99-3.4-Մ5-1</t>
  </si>
  <si>
    <t>10տ 10ամիս29օր</t>
  </si>
  <si>
    <t>9տ 10ամիս29օր</t>
  </si>
  <si>
    <t>11տ 10ամիս29օր</t>
  </si>
  <si>
    <t>12տ 10ամիս29օր</t>
  </si>
  <si>
    <t>99-3.4-Մ5-2</t>
  </si>
  <si>
    <t>Մարտիրոսյան Արեգ</t>
  </si>
  <si>
    <t>Ընտանիքի, կանանց և երեխաների իրավունք. պաշտպ. բաժնի 1-ի կարգի մասն</t>
  </si>
  <si>
    <t>99-3.4-Մ5-3</t>
  </si>
  <si>
    <t>6տ 9ամ20օր</t>
  </si>
  <si>
    <t>5տ 9ամ20օր</t>
  </si>
  <si>
    <t>7տ 9ամ20օր</t>
  </si>
  <si>
    <t>8տ 9ամ20օր</t>
  </si>
  <si>
    <t>Տեղեկատվության և հաս. հետ կապերի բաժին</t>
  </si>
  <si>
    <t>Մարգարյան Սոնա</t>
  </si>
  <si>
    <t>Տեղեկատվության և հաս. հետ կապերի բաժնի պետ</t>
  </si>
  <si>
    <t>99-3.6-Ղ4-1</t>
  </si>
  <si>
    <t>14տ 1ամ 20օր</t>
  </si>
  <si>
    <t>13տ 1ամ 20օր</t>
  </si>
  <si>
    <t>15տ 1ամ 20օր</t>
  </si>
  <si>
    <t>16տ 1ամ 20օր</t>
  </si>
  <si>
    <t>Իրավաբանական բաժին</t>
  </si>
  <si>
    <t>Մաղաքյան Նարինե</t>
  </si>
  <si>
    <t>Իրավաբանական բաժնի պետ</t>
  </si>
  <si>
    <t>99-3.1-Ղ4-1</t>
  </si>
  <si>
    <t>10տ3 ամիս 5 օր</t>
  </si>
  <si>
    <t>9տ3 ամիս 5 օր</t>
  </si>
  <si>
    <t>11տ3 ամիս 5 օր</t>
  </si>
  <si>
    <t>12տ3 ամիս 5 օր</t>
  </si>
  <si>
    <t>Մխիթարյան Սերինե</t>
  </si>
  <si>
    <t>Իրավաբանական բաժնի գլխ մասնագետ</t>
  </si>
  <si>
    <t>99-3.1-Մ3-1</t>
  </si>
  <si>
    <t>6տ  15օր</t>
  </si>
  <si>
    <t>5տ  15օր</t>
  </si>
  <si>
    <t>7տ 15օր</t>
  </si>
  <si>
    <t>8տ 15օր</t>
  </si>
  <si>
    <t>Զարգացման Ծրագրերի և վերլուծ բաժին</t>
  </si>
  <si>
    <t>Կոստանյան Արամ</t>
  </si>
  <si>
    <t>Զարգացման Ծրագրերի,զբոսշրջության և վերլուծ բաժնի պետ</t>
  </si>
  <si>
    <t>99-3.2-Ղ4-1</t>
  </si>
  <si>
    <t>18տ 9ամ 27 օր</t>
  </si>
  <si>
    <t>17տ 9ամ 27 օր</t>
  </si>
  <si>
    <t>19տ 9ամ 27 օր</t>
  </si>
  <si>
    <t>20տ 9ամ 27 օր</t>
  </si>
  <si>
    <t>Ադամյան Անի</t>
  </si>
  <si>
    <t>Զարգացման Ծրագրերի,զբոսշրջության և վերլուծ բաժնի գլխ.մասն</t>
  </si>
  <si>
    <t>99-3.2-Մ3-1</t>
  </si>
  <si>
    <t>3տ 1 ամիս 17օր</t>
  </si>
  <si>
    <t>2տ 1 ամիս 17օր</t>
  </si>
  <si>
    <t>4տ 1 ամիս 17օր</t>
  </si>
  <si>
    <t>5տ 1 ամիս 17օր</t>
  </si>
  <si>
    <t>Զորահավաքային նախապատրաստության  բաժին</t>
  </si>
  <si>
    <t>Խուդավերդյան վանիկ</t>
  </si>
  <si>
    <t>Զորահավաքային նախապատրաստության  բաժնի պետ</t>
  </si>
  <si>
    <t>99-3.8-Ղ4-1</t>
  </si>
  <si>
    <t>Ասատրյան Հրայր</t>
  </si>
  <si>
    <t>Զորահավաքային նախապատրաստության  բաժնի գլխ մասնագետ</t>
  </si>
  <si>
    <t>99-3.8-Մ3-1</t>
  </si>
  <si>
    <t>12տ 1ամ 8օր</t>
  </si>
  <si>
    <t>11տ 1ամ 8օր</t>
  </si>
  <si>
    <t>13տ 1ամ 8օր</t>
  </si>
  <si>
    <t>14տ 1ամ 8օր</t>
  </si>
  <si>
    <t>Եղեգնաձորի ՍԱՏԳ</t>
  </si>
  <si>
    <t>Դավթյան Հրանտ</t>
  </si>
  <si>
    <t>Եղեգնաձորի  ՍԱՏԳ-ի պետ</t>
  </si>
  <si>
    <t>99-4.1-Ղ5-1</t>
  </si>
  <si>
    <t>24տ 1ամ 5օր</t>
  </si>
  <si>
    <t>23տ 1ամ 5օր</t>
  </si>
  <si>
    <t>25տ 1ամ 5օր</t>
  </si>
  <si>
    <t>Սարգսյան Գայանե</t>
  </si>
  <si>
    <t>ԵղեգնաձորիՍԱՏԳ-ի գլխ մասն.</t>
  </si>
  <si>
    <t>99-4.1-Մ4-2</t>
  </si>
  <si>
    <t>6տ 5ամ 15օր</t>
  </si>
  <si>
    <t>5տ 5ամ 15օր</t>
  </si>
  <si>
    <t>7տ 5ամ 15օր</t>
  </si>
  <si>
    <t>8տ 5ամ 15օր</t>
  </si>
  <si>
    <t>Մկրտչյան Վարդիթեր</t>
  </si>
  <si>
    <t>Եղեգնաձորի ՍԱՏԳ-ի առաջ.  մասն.</t>
  </si>
  <si>
    <t>99-4.1-Մ4-1</t>
  </si>
  <si>
    <t>Հովհաննիսյան Նունիկ</t>
  </si>
  <si>
    <t>99-4.1-Մ6-3</t>
  </si>
  <si>
    <t>11տ 3ամ 17օր</t>
  </si>
  <si>
    <t>10տ 3ամ 17օր</t>
  </si>
  <si>
    <t>12տ 3ամ 17օր</t>
  </si>
  <si>
    <t>13տ 3ամ 17օր</t>
  </si>
  <si>
    <t>Հովհաննիսյան Աննա</t>
  </si>
  <si>
    <t>ԵղեգնաձորիՍԱՏԳ-ի առաջ.  մասն.</t>
  </si>
  <si>
    <t>99-4.1-Մ6-1</t>
  </si>
  <si>
    <t>6տ 5ամ 12օր</t>
  </si>
  <si>
    <t>5տ 5ամ 12օր</t>
  </si>
  <si>
    <t>7տ 5ամ 12օր</t>
  </si>
  <si>
    <t>8տ 5ամ 12օր</t>
  </si>
  <si>
    <t>Եղեգնաձորի ՍԱՏԳ-ի 1-ին կարգի  մասն.</t>
  </si>
  <si>
    <t>99-4.1-Մ6-2</t>
  </si>
  <si>
    <t>Վայքի  ՍԱՏԳ</t>
  </si>
  <si>
    <t>Մարգարյան Արմեն</t>
  </si>
  <si>
    <t>Վայքի  ՍԱՏԳ-ի պետ</t>
  </si>
  <si>
    <t>99-4.2-Ղ5-1</t>
  </si>
  <si>
    <t>19տ 2ամ 24օր</t>
  </si>
  <si>
    <t>18տ 2ամ 24օր</t>
  </si>
  <si>
    <t>20տ 2ամ 24օր</t>
  </si>
  <si>
    <t>21տ 2ամ 24օր</t>
  </si>
  <si>
    <t>Հովհաննիսյան Արտակ</t>
  </si>
  <si>
    <t>Վայքի  ՍԱՏԳ-ի գլխ մասն.</t>
  </si>
  <si>
    <t>99-4.2-Մ4-1</t>
  </si>
  <si>
    <t>9տ 11ամ 16 օր</t>
  </si>
  <si>
    <t>8տ 11ամ 16 օր</t>
  </si>
  <si>
    <t>10տ 11ամ 16 օր</t>
  </si>
  <si>
    <t>11տ 11ամ 16 օր</t>
  </si>
  <si>
    <t>Ղազարյան Սասուն</t>
  </si>
  <si>
    <t>Վայքի  ՍԱՏԳ-ի առաջ  մասն.</t>
  </si>
  <si>
    <t>99-4.2-Մ5-1</t>
  </si>
  <si>
    <t>Ներսիսյան Արտակ</t>
  </si>
  <si>
    <t>99-4.2-Մ5-2</t>
  </si>
  <si>
    <t>Ասլանյան Գոհար</t>
  </si>
  <si>
    <t>Վայքի  ՍԱՏԳ-ի 2-րդ կարգի  մասն.</t>
  </si>
  <si>
    <t>99-4.2-Մ6-2</t>
  </si>
  <si>
    <t>Գրիգորյան Գայանե</t>
  </si>
  <si>
    <t>Վայքի ՍԱՏԳ-ի 2-րդ կարգի  մասն.</t>
  </si>
  <si>
    <t>99-4.2-Մ6-1</t>
  </si>
  <si>
    <t>Քաղաքացիական աշխատանք կատարող</t>
  </si>
  <si>
    <t>Մարտիրոսյան Նարեկ</t>
  </si>
  <si>
    <t>Խորհդական ՏԻ և ՀԳՄ հարցերով վարչ. առանձին  գործառույթներ համակարգող</t>
  </si>
  <si>
    <t>Կարապետյան Սեդա</t>
  </si>
  <si>
    <t xml:space="preserve">Խորհրդական ՝ իրավաբանականբաժնում առանձին գործառույթների  համակարգող </t>
  </si>
  <si>
    <t>Սիմոնյան  Աննա</t>
  </si>
  <si>
    <t xml:space="preserve">Խորհրդական ՝ զբոսաշրջության վերլուծության բաժնում առանձին գործառույթների  համակարգող </t>
  </si>
  <si>
    <t xml:space="preserve"> տեխնիկական սպասարկում իրականացնող անձնակազմ</t>
  </si>
  <si>
    <t>Մուրադյան Աշոտ</t>
  </si>
  <si>
    <t>Վարորդ</t>
  </si>
  <si>
    <t>Մաթևոսյան Աղասի</t>
  </si>
  <si>
    <t>Սիմոնյան Լուսյա</t>
  </si>
  <si>
    <t>Մարզ.քարտ.</t>
  </si>
  <si>
    <t>Սիմոնյան Արաքսյա</t>
  </si>
  <si>
    <t xml:space="preserve">Օպերատոր </t>
  </si>
  <si>
    <t>Սեխլիյան Լյուբա</t>
  </si>
  <si>
    <t>Վարդանյան Համիկ</t>
  </si>
  <si>
    <t xml:space="preserve">Գիշերապահ </t>
  </si>
  <si>
    <t>Ստեփանյան Անահիտ</t>
  </si>
  <si>
    <t xml:space="preserve">Հավաքարար </t>
  </si>
  <si>
    <t>Մանուկյան Աննա</t>
  </si>
  <si>
    <t>Մուրադյան Մարիետա</t>
  </si>
  <si>
    <t>Կարապետյան Ռիտա</t>
  </si>
  <si>
    <t>Գրիգորյան Գագիկ</t>
  </si>
  <si>
    <t>Համակարգիչ</t>
  </si>
  <si>
    <t>Մոնիտոր</t>
  </si>
  <si>
    <t>պրոցեսոր</t>
  </si>
  <si>
    <t>պրոեկտոր</t>
  </si>
  <si>
    <t>պրոեկտորի   էկրան</t>
  </si>
  <si>
    <t>Սերվեր</t>
  </si>
  <si>
    <t>Սկաներ</t>
  </si>
  <si>
    <t>Բազմաֆունկցիոնալ       տպիչ   սարք</t>
  </si>
  <si>
    <t>Բազմաֆունկցիոնալ      պատճենահանման    սարք</t>
  </si>
  <si>
    <t>Լազերային տպիչ պրինտեր</t>
  </si>
  <si>
    <t xml:space="preserve">Տպիչ/ֆոտոպռինտեռ/ </t>
  </si>
  <si>
    <t>Քսերոքս</t>
  </si>
  <si>
    <t>լազերային հեռաչափ</t>
  </si>
  <si>
    <t>Մայրական պլատա</t>
  </si>
  <si>
    <t>Ներքին  համ.  Ցանց</t>
  </si>
  <si>
    <t>ԵրթուղիչMikrotik Router Board RB/1200 rb/1200</t>
  </si>
  <si>
    <t>Անխափան  սնուցման  սարքSmart-UPS/SUA 1500RM12U//S/N;AS1205223001</t>
  </si>
  <si>
    <t>հաճախումների կառավարման համ</t>
  </si>
  <si>
    <t>անվտանգութ տեսախցիկ</t>
  </si>
  <si>
    <t>Սառնարան</t>
  </si>
  <si>
    <t>Գորգ</t>
  </si>
  <si>
    <t>Գրասեղան</t>
  </si>
  <si>
    <t>Համակարգչային  սեղան</t>
  </si>
  <si>
    <t>նիստերի</t>
  </si>
  <si>
    <t>հասարակ</t>
  </si>
  <si>
    <t>ղեկավարի</t>
  </si>
  <si>
    <t>փոքր</t>
  </si>
  <si>
    <t>Գրապահարան</t>
  </si>
  <si>
    <t>դարակներով պահարան</t>
  </si>
  <si>
    <t>ցուցապահարան</t>
  </si>
  <si>
    <t>զգեստապահարան</t>
  </si>
  <si>
    <t>հյուրասենյակի կահույք</t>
  </si>
  <si>
    <t>Ձայնագրիչ</t>
  </si>
  <si>
    <t>ֆոտոխցիկ</t>
  </si>
  <si>
    <t>աթոռ  փափուկ-գրասենյակային</t>
  </si>
  <si>
    <t>աթոռ  հոլովակավոր</t>
  </si>
  <si>
    <t>բազկաթոռ</t>
  </si>
  <si>
    <t>բազմոց</t>
  </si>
  <si>
    <t>Հեռուստացույց</t>
  </si>
  <si>
    <t>Սելեկտոր</t>
  </si>
  <si>
    <t>փոշեկուլ</t>
  </si>
  <si>
    <t>Upse-pro600va</t>
  </si>
  <si>
    <t>Օդափոխիչ</t>
  </si>
  <si>
    <t>Մետաղական  պահարան</t>
  </si>
  <si>
    <t>շերտավարագույր</t>
  </si>
  <si>
    <t>Ճանապարհ</t>
  </si>
  <si>
    <t>Ջրագիծ</t>
  </si>
  <si>
    <t>հատ</t>
  </si>
  <si>
    <t>1</t>
  </si>
  <si>
    <t>ՀՀ Վայոց ձորի մարզպետարան</t>
  </si>
  <si>
    <t>ՎՁՄ ք.Եղեգնաձոր,Շահումյան 5</t>
  </si>
  <si>
    <t>05042019-10-0016</t>
  </si>
  <si>
    <t>Ավտոմեքենա ՆԻՍՍԱՆ  ԱԼՏԻՄԱ 2,5</t>
  </si>
  <si>
    <t>Ավտոմեքենա ՎԱԶ 21074</t>
  </si>
  <si>
    <t>վարորդ</t>
  </si>
  <si>
    <t>Ավտոմեքենա ՆԻՍՍԱՆ  XTRIA  L 2,5</t>
  </si>
  <si>
    <t>մարզպետ</t>
  </si>
  <si>
    <t>Ավտոմեքենա TOYTA CAMRY  2.4</t>
  </si>
  <si>
    <t>Ավտոմեքենա     Վազ-21214</t>
  </si>
  <si>
    <t>1038.700</t>
  </si>
  <si>
    <t>25.08.20թ.- ի պահ  է  տրված Պետական գույքի կառավարման կոմիտեին</t>
  </si>
  <si>
    <t xml:space="preserve"> Ù³ïÇïÝ»ñ</t>
  </si>
  <si>
    <t xml:space="preserve"> ¹ñáßÝ»ñ</t>
  </si>
  <si>
    <t xml:space="preserve"> Ï³ñÇãÇ Ù»ï³Õ³É³ñ» Ï³å»ñ, ÷áùñ</t>
  </si>
  <si>
    <t xml:space="preserve"> Ï³ñÇãÇ Ù»ï³Õ³É³ñ» Ï³å»ñ, ÙÇçÇÝ</t>
  </si>
  <si>
    <t xml:space="preserve"> ÃÕÃ³å³Ý³Ï, åáÉÇÙ»ñ³ÛÇÝ Ã³Õ³ÝÃ, ý³ÛÉ</t>
  </si>
  <si>
    <t xml:space="preserve"> ÃÕÃ³å³Ý³Ï, ³ñ³·³Ï³ñ, ÃÕÃÛ³</t>
  </si>
  <si>
    <t xml:space="preserve"> ÃÕÃ³å³Ý³Ï, Ïáßï Ï³½Ùáí</t>
  </si>
  <si>
    <t xml:space="preserve"> Ï³ñÇã, ÙÇÝã¨ 20 Ã»ñÃÇ Ñ³Ù³ñ</t>
  </si>
  <si>
    <t xml:space="preserve"> Ï³ñÇã, 20-50 Ã»ñÃÇ Ñ³Ù³ñ</t>
  </si>
  <si>
    <t xml:space="preserve"> ÃáõÕÃ ÝßáõÙÝ»ñÇ Ñ³Ù³ñ, ëáëÝÓí³Íùáí</t>
  </si>
  <si>
    <t xml:space="preserve">ÃáõÕÃ, A4 ýáñÙ³ïÇ </t>
  </si>
  <si>
    <t>ÙÏÝÇÏ, Ñ³Ù³Ï³ñ·ã³ÛÇÝ, É³ñáí</t>
  </si>
  <si>
    <t xml:space="preserve"> ïÝï»ëáÕ É³Ùå»ñ</t>
  </si>
  <si>
    <t>Ý³Ù³ÏÇ Íñ³ñ, A4 Ó¨³ã³÷Ç</t>
  </si>
  <si>
    <t xml:space="preserve"> ßïñÇËÝ»ñ</t>
  </si>
  <si>
    <t xml:space="preserve"> Ù³ñÏ»ñÝ»ñ</t>
  </si>
  <si>
    <t xml:space="preserve"> ·ñ»Ý³Ï³Ý åÇïáõÛùÝ»ñÇ ¹³ë³íáñÙ³Ý Ñ³Ù³ñ³ÝùÝ»ñ ¨ å³ñ³·³Ý»ñ</t>
  </si>
  <si>
    <t>ë³ÝÑ³Ý·áõÛóÇ µ³ùÇ å³ñ³·³Ý»ñ</t>
  </si>
  <si>
    <t xml:space="preserve"> åáÉÇ¿ÃÇÉ»Ý³ÛÇÝ å³ñÏ, ³ÕµÇ Ñ³Ù³ñ</t>
  </si>
  <si>
    <t xml:space="preserve"> ÃÕÃ» ³ÝÓ»éáóÇÏÝ»ñ</t>
  </si>
  <si>
    <t xml:space="preserve"> ³Ùñ³Ï, ÙÇçÇÝ</t>
  </si>
  <si>
    <t xml:space="preserve"> ³Ùñ³Ï, ÷áùñ</t>
  </si>
  <si>
    <t xml:space="preserve"> ÝáÃ³ï»ïñ»ñ</t>
  </si>
  <si>
    <t>·ñÇã ·»É³ÛÇÝ</t>
  </si>
  <si>
    <t>·ñÇã ·Ý¹ÇÏ³íáñ</t>
  </si>
  <si>
    <t>µ»Ý½ÇÝ, é»·áõÉÛ³ñ</t>
  </si>
  <si>
    <t>ß³ñÅÇãÇ ÛáõÕեր</t>
  </si>
  <si>
    <t xml:space="preserve"> ÷áË³ÝóÙ³Ý ïáõ÷Ç ÛáõÕ»ñ</t>
  </si>
  <si>
    <t>³ñ·»É³ÏÇ Ñ»ÕáõÏ</t>
  </si>
  <si>
    <t xml:space="preserve"> Ñ³Ï³ë³éÇã Ñ»ÕáõÏ` A ¹³ëÇ ÏáÝó»Ýïñ³Ýï,  A-40 ¹³ëÇ` 40 C ³ëïÇ×³Ý ë³éÙ³Ý ç»ñÙ³ëïÇ×³Ýáí,A-65 ¹³ëÇ` 65 C ë³éÙ³Ý ç»ñÙ³ëïÇ×³Ýáí</t>
  </si>
  <si>
    <t xml:space="preserve"> Ñ³Ï³ë³é»óáõóÇã ÝÛáõÃ»ñ</t>
  </si>
  <si>
    <t xml:space="preserve"> í³ñ¹³Ï</t>
  </si>
  <si>
    <t xml:space="preserve"> ¿É»Ïïñ³Ï³Ý »ñÏ³ñ³óÙ³Ý É³ñ</t>
  </si>
  <si>
    <t>½áõ·³ñ³ÝÇ ÃáõÕÃ, éáõÉáÝáí</t>
  </si>
  <si>
    <t>¹áõÛÉ åÉ³ëïÙ³ë»</t>
  </si>
  <si>
    <t xml:space="preserve"> ¹áõÛÉ, óÇÝÏ³å³ï</t>
  </si>
  <si>
    <t xml:space="preserve"> ³Õµ³ñÏÕ, åÉ³ëïÙ³ë»</t>
  </si>
  <si>
    <t xml:space="preserve"> ÷áßáõ Ñ³í³ùÙ³Ý ÏïáñÝ»ñ</t>
  </si>
  <si>
    <t xml:space="preserve"> Ñáï³½»ñÍÇã, û¹Ç</t>
  </si>
  <si>
    <t xml:space="preserve"> Ï³ÑáõÛùÇ ÷³ÛÉ»óÙ³Ý ÙÇçáó</t>
  </si>
  <si>
    <t>û×³é, Ñ»ÕáõÏ</t>
  </si>
  <si>
    <t>³Ëï³Ñ³ÝáÕ Ñ»ÕáõÏ` ë³ÝÑ³Ý·áõÛóÇ Ñ³Ù³ñ (Ëï³ÝÛáõÃ)</t>
  </si>
  <si>
    <t xml:space="preserve"> Ñ³ï³Ï Ù³ùñ»Éáõ ÓáÕ, åÉ³ëïÙ³ë», ÷³ÛïÛ³</t>
  </si>
  <si>
    <t xml:space="preserve"> ³í»É, ëáíáñ³Ï³Ý</t>
  </si>
  <si>
    <t xml:space="preserve"> çñÇ Íáñ³Ï, 1 ÷³Ï³Ýáí</t>
  </si>
  <si>
    <t xml:space="preserve"> ÏáÕå»ùÝ»ñ</t>
  </si>
  <si>
    <t xml:space="preserve"> ÏáÕå»ùÝ»ñÇ Ù³ë»ñ</t>
  </si>
  <si>
    <t xml:space="preserve"> Ù³ùñáÕ ÏïáñÝ»ñ</t>
  </si>
  <si>
    <t>³å³ÏÇ Ù³ùñ»Éáõ ÙÇçáó</t>
  </si>
  <si>
    <t xml:space="preserve"> ó³Ë³í»É</t>
  </si>
  <si>
    <t xml:space="preserve"> Ï³½Ù³Ï»ñåáõÃÛ³Ý é»ëáõñëÝ»ñÇ åÉ³Ý³íáñÙ³Ý Ñ³Ù³Ï³ñ·ã³ÛÇÝ Íñ³·ñ³ÛÇÝ ÷³Ã»ÃÝ»ñ</t>
  </si>
  <si>
    <t>տեղեկատվական տեխնոլոգիաների ծրագրային ապահովման սպասարկում</t>
  </si>
  <si>
    <t xml:space="preserve"> Ñ³Ï³íÇñáõë³ÛÇÝ Ñ³Ù³Ï³ñ·ã³ÛÇÝ Íñ³·ñ³ÛÇÝ ÷³Ã»ÃÝ»ñ</t>
  </si>
  <si>
    <t xml:space="preserve">LSFinance 5.0՚ ավտոմատացված համակարգի ծրագրային ապահովման սպասարկում </t>
  </si>
  <si>
    <t>հաշվապահական համակարգչային ծրագրային փաթեթների մշակման ծառայություններ</t>
  </si>
  <si>
    <t>&lt;&lt;Mulberry&gt;&gt; փաստաթղթաշարժի էլեկտրոնային համակարգի սպասարկում</t>
  </si>
  <si>
    <t>Մասնագիտական վերապատրաստման դասընթացներ</t>
  </si>
  <si>
    <t>&lt;&lt;ՀԾ-ձեռնարկություն&gt;&gt; ծրագրի բաժինի ձեռք բերման,ներդրման  և սպասարկան վճա</t>
  </si>
  <si>
    <t>Ã»ñÃ»ñáõÙ Ñ³Ûï³ñ³ñáõÃÛáõÝÝ»ñÇ ïå³·ñÙ³Ý Í³é³ÛáõÃÛáõÝ</t>
  </si>
  <si>
    <t xml:space="preserve"> Ù³ëÝ³·Çï³óí³Í Ï³½Ù³Ï»ñåáõÃÛáõÝÝ»ñÇ ÏáÕÙÇó Ù³ïáõóíáÕ Í³é³ÛáõÃÛáõÝÝ»ñ</t>
  </si>
  <si>
    <t xml:space="preserve"> ³ñËÇí³óÙ³Ý Í³é³ÛáõÃÛáõÝÝ»ñ</t>
  </si>
  <si>
    <t>Վայքի ՍԱՏԳ</t>
  </si>
  <si>
    <t>Մարզպետարանի վարչական շենքի ջրամատակարարումը կատարվում է ըստ ջրաչափի ,որի արդյունքում փաստացի ծախսը կազմում է մոտ 377.9 հազ դրամ</t>
  </si>
  <si>
    <t>ձեռնոցներ</t>
  </si>
  <si>
    <t>ֆլեշ հիշողություն 16գբ</t>
  </si>
  <si>
    <t>կոնեկտոր(կցորդ)</t>
  </si>
  <si>
    <t>համակարգչային ստեղնաշար</t>
  </si>
  <si>
    <t>էլեկտրական լամպ 150վտ</t>
  </si>
  <si>
    <t>ջերմաչափեր</t>
  </si>
  <si>
    <t>էլեկտրական վարդակ միաբևեր,ներքին մոնտաժի հողանցումով</t>
  </si>
  <si>
    <t>01</t>
  </si>
  <si>
    <t>1051</t>
  </si>
  <si>
    <t>ՀՀ  Վայոց ձորի մարզում տարածքային պետական կառավարում</t>
  </si>
  <si>
    <t>Վայոց ձորի մարզպետարանի կողմից տարածքային պետական կառավարում</t>
  </si>
  <si>
    <t>ՀՀ  Վայոց ձորի  մարզպետարանի տեխնիկական հագեցվածության բարելավում</t>
  </si>
  <si>
    <t xml:space="preserve">Ընդամենը ծառայողական ավտոմեքենաների  սահմանաքանակը` _____8____   </t>
  </si>
  <si>
    <t>Առկա մեքենաների թիվը` ընդամենը -__5__</t>
  </si>
  <si>
    <t xml:space="preserve">1-2- տ </t>
  </si>
  <si>
    <t>_____ՀՀ Վայոց ձորի մարզպետարան____</t>
  </si>
  <si>
    <t>Հայտատուի  անվանումը        ՀՀ Վայոց ձորի մարզպետարան</t>
  </si>
  <si>
    <t>1քառակուսի մետրի արժեքը 15 դրամ</t>
  </si>
</sst>
</file>

<file path=xl/styles.xml><?xml version="1.0" encoding="utf-8"?>
<styleSheet xmlns="http://schemas.openxmlformats.org/spreadsheetml/2006/main">
  <numFmts count="47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 &quot;#,##0_);\(&quot; &quot;#,##0\)"/>
    <numFmt numFmtId="173" formatCode="&quot; &quot;#,##0_);[Red]\(&quot; &quot;#,##0\)"/>
    <numFmt numFmtId="174" formatCode="&quot; &quot;#,##0.00_);\(&quot; &quot;#,##0.00\)"/>
    <numFmt numFmtId="175" formatCode="&quot; &quot;#,##0.00_);[Red]\(&quot; &quot;#,##0.00\)"/>
    <numFmt numFmtId="176" formatCode="_(&quot; &quot;* #,##0_);_(&quot; &quot;* \(#,##0\);_(&quot; &quot;* &quot;-&quot;_);_(@_)"/>
    <numFmt numFmtId="177" formatCode="_(&quot; &quot;* #,##0.00_);_(&quot; &quot;* \(#,##0.00\);_(&quot; &quot;* &quot;-&quot;??_);_(@_)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0.0"/>
    <numFmt numFmtId="187" formatCode="0.00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#,##0.0"/>
    <numFmt numFmtId="197" formatCode="_(* #,##0.0_);_(* \(#,##0.0\);_(* &quot;-&quot;??_);_(@_)"/>
    <numFmt numFmtId="198" formatCode="_-* #,##0.0_-;\-* #,##0.0_-;_-* &quot;-&quot;??_-;_-@_-"/>
    <numFmt numFmtId="199" formatCode="_-* #,##0_-;\-* #,##0_-;_-* &quot;-&quot;??_-;_-@_-"/>
    <numFmt numFmtId="200" formatCode="_-* #,##0.00\ _֏_-;\-* #,##0.00\ _֏_-;_-* &quot;-&quot;??\ _֏_-;_-@_-"/>
    <numFmt numFmtId="201" formatCode="0.0000"/>
    <numFmt numFmtId="202" formatCode="0.00000"/>
  </numFmts>
  <fonts count="1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.5"/>
      <name val="GHEA Grapalat"/>
      <family val="3"/>
    </font>
    <font>
      <b/>
      <sz val="12"/>
      <color indexed="10"/>
      <name val="GHEA Grapalat"/>
      <family val="3"/>
    </font>
    <font>
      <b/>
      <sz val="11"/>
      <color indexed="10"/>
      <name val="GHEA Grapalat"/>
      <family val="3"/>
    </font>
    <font>
      <b/>
      <sz val="8"/>
      <name val="GHEA Grapalat"/>
      <family val="3"/>
    </font>
    <font>
      <sz val="10"/>
      <name val="GHEA Grapalat"/>
      <family val="3"/>
    </font>
    <font>
      <u val="single"/>
      <sz val="10"/>
      <name val="GHEA Grapalat"/>
      <family val="3"/>
    </font>
    <font>
      <sz val="12"/>
      <name val="GHEA Grapalat"/>
      <family val="3"/>
    </font>
    <font>
      <b/>
      <sz val="10"/>
      <name val="GHEA Grapalat"/>
      <family val="3"/>
    </font>
    <font>
      <sz val="8"/>
      <name val="GHEA Grapalat"/>
      <family val="3"/>
    </font>
    <font>
      <sz val="9"/>
      <name val="GHEA Grapalat"/>
      <family val="3"/>
    </font>
    <font>
      <b/>
      <i/>
      <u val="single"/>
      <sz val="10"/>
      <name val="GHEA Grapalat"/>
      <family val="3"/>
    </font>
    <font>
      <sz val="10"/>
      <color indexed="8"/>
      <name val="GHEA Grapalat"/>
      <family val="3"/>
    </font>
    <font>
      <i/>
      <sz val="10"/>
      <name val="GHEA Grapalat"/>
      <family val="3"/>
    </font>
    <font>
      <i/>
      <sz val="8"/>
      <name val="GHEA Grapalat"/>
      <family val="3"/>
    </font>
    <font>
      <b/>
      <i/>
      <sz val="8"/>
      <name val="GHEA Grapalat"/>
      <family val="3"/>
    </font>
    <font>
      <i/>
      <sz val="10"/>
      <color indexed="10"/>
      <name val="GHEA Grapalat"/>
      <family val="3"/>
    </font>
    <font>
      <sz val="10"/>
      <color indexed="10"/>
      <name val="GHEA Grapalat"/>
      <family val="3"/>
    </font>
    <font>
      <b/>
      <sz val="9"/>
      <name val="GHEA Grapalat"/>
      <family val="3"/>
    </font>
    <font>
      <b/>
      <sz val="11"/>
      <name val="GHEA Grapalat"/>
      <family val="3"/>
    </font>
    <font>
      <b/>
      <i/>
      <sz val="10"/>
      <name val="GHEA Grapalat"/>
      <family val="3"/>
    </font>
    <font>
      <sz val="9"/>
      <color indexed="8"/>
      <name val="GHEA Grapalat"/>
      <family val="3"/>
    </font>
    <font>
      <sz val="8"/>
      <color indexed="8"/>
      <name val="GHEA Grapalat"/>
      <family val="3"/>
    </font>
    <font>
      <b/>
      <i/>
      <sz val="10"/>
      <color indexed="8"/>
      <name val="GHEA Grapalat"/>
      <family val="3"/>
    </font>
    <font>
      <u val="single"/>
      <sz val="12"/>
      <name val="GHEA Grapalat"/>
      <family val="3"/>
    </font>
    <font>
      <b/>
      <sz val="12"/>
      <name val="GHEA Grapalat"/>
      <family val="3"/>
    </font>
    <font>
      <b/>
      <sz val="10"/>
      <color indexed="10"/>
      <name val="GHEA Grapalat"/>
      <family val="3"/>
    </font>
    <font>
      <b/>
      <sz val="8"/>
      <color indexed="8"/>
      <name val="GHEA Grapalat"/>
      <family val="3"/>
    </font>
    <font>
      <b/>
      <i/>
      <sz val="10"/>
      <color indexed="10"/>
      <name val="GHEA Grapalat"/>
      <family val="3"/>
    </font>
    <font>
      <b/>
      <sz val="9"/>
      <color indexed="10"/>
      <name val="GHEA Grapalat"/>
      <family val="3"/>
    </font>
    <font>
      <i/>
      <sz val="12"/>
      <name val="GHEA Grapalat"/>
      <family val="3"/>
    </font>
    <font>
      <u val="single"/>
      <sz val="9"/>
      <name val="GHEA Grapalat"/>
      <family val="3"/>
    </font>
    <font>
      <sz val="10"/>
      <name val="Arial Armenian"/>
      <family val="2"/>
    </font>
    <font>
      <sz val="10"/>
      <color indexed="8"/>
      <name val="MS Sans Serif"/>
      <family val="2"/>
    </font>
    <font>
      <sz val="10"/>
      <name val="Times Armenian"/>
      <family val="1"/>
    </font>
    <font>
      <sz val="9"/>
      <name val="GHEA Mariam"/>
      <family val="3"/>
    </font>
    <font>
      <i/>
      <sz val="11"/>
      <name val="GHEA Grapalat"/>
      <family val="3"/>
    </font>
    <font>
      <sz val="12"/>
      <color indexed="8"/>
      <name val="GHEA Grapalat"/>
      <family val="3"/>
    </font>
    <font>
      <sz val="11"/>
      <color indexed="8"/>
      <name val="Arial Armenian"/>
      <family val="2"/>
    </font>
    <font>
      <b/>
      <u val="single"/>
      <sz val="12"/>
      <name val="GHEA Grapalat"/>
      <family val="3"/>
    </font>
    <font>
      <i/>
      <sz val="10"/>
      <color indexed="8"/>
      <name val="Arial Armenian"/>
      <family val="2"/>
    </font>
    <font>
      <sz val="9"/>
      <name val="Arial"/>
      <family val="2"/>
    </font>
    <font>
      <sz val="12"/>
      <name val="Arial Armenian"/>
      <family val="2"/>
    </font>
    <font>
      <sz val="10"/>
      <color indexed="8"/>
      <name val="Arial Armenian"/>
      <family val="2"/>
    </font>
    <font>
      <sz val="11"/>
      <name val="Arial Armeni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8"/>
      <color indexed="10"/>
      <name val="GHEA Grapalat"/>
      <family val="3"/>
    </font>
    <font>
      <sz val="9"/>
      <color indexed="10"/>
      <name val="GHEA Grapalat"/>
      <family val="3"/>
    </font>
    <font>
      <i/>
      <sz val="9"/>
      <color indexed="8"/>
      <name val="GHEA Grapalat"/>
      <family val="3"/>
    </font>
    <font>
      <b/>
      <sz val="10"/>
      <color indexed="8"/>
      <name val="GHEA Grapalat"/>
      <family val="3"/>
    </font>
    <font>
      <sz val="12"/>
      <color indexed="8"/>
      <name val="Arial Armenian"/>
      <family val="2"/>
    </font>
    <font>
      <b/>
      <sz val="14"/>
      <color indexed="8"/>
      <name val="Arial Armenian"/>
      <family val="2"/>
    </font>
    <font>
      <sz val="9"/>
      <color indexed="8"/>
      <name val="Arial Armenian"/>
      <family val="2"/>
    </font>
    <font>
      <b/>
      <sz val="9"/>
      <color indexed="8"/>
      <name val="Arial Armenian"/>
      <family val="2"/>
    </font>
    <font>
      <b/>
      <sz val="12"/>
      <color indexed="8"/>
      <name val="Arial Armenian"/>
      <family val="2"/>
    </font>
    <font>
      <b/>
      <i/>
      <sz val="12"/>
      <color indexed="8"/>
      <name val="Arial Armenian"/>
      <family val="2"/>
    </font>
    <font>
      <sz val="10"/>
      <color indexed="8"/>
      <name val="GHEA Mariam"/>
      <family val="3"/>
    </font>
    <font>
      <sz val="11"/>
      <color indexed="8"/>
      <name val="GHEA Grapalat"/>
      <family val="3"/>
    </font>
    <font>
      <u val="single"/>
      <sz val="10"/>
      <color indexed="8"/>
      <name val="GHEA Grapalat"/>
      <family val="3"/>
    </font>
    <font>
      <u val="single"/>
      <sz val="9"/>
      <color indexed="8"/>
      <name val="GHEA Grapalat"/>
      <family val="3"/>
    </font>
    <font>
      <u val="single"/>
      <sz val="8"/>
      <color indexed="8"/>
      <name val="GHEA Grapalat"/>
      <family val="3"/>
    </font>
    <font>
      <b/>
      <sz val="9"/>
      <color indexed="8"/>
      <name val="GHEA Grapalat"/>
      <family val="3"/>
    </font>
    <font>
      <b/>
      <i/>
      <sz val="9"/>
      <color indexed="8"/>
      <name val="GHEA Grapalat"/>
      <family val="3"/>
    </font>
    <font>
      <b/>
      <sz val="10"/>
      <color indexed="8"/>
      <name val="Arial Armenian"/>
      <family val="2"/>
    </font>
    <font>
      <b/>
      <sz val="12"/>
      <color indexed="10"/>
      <name val="Arial Armenian"/>
      <family val="2"/>
    </font>
    <font>
      <sz val="10"/>
      <color indexed="10"/>
      <name val="Arial Armenian"/>
      <family val="2"/>
    </font>
    <font>
      <b/>
      <sz val="10"/>
      <color indexed="10"/>
      <name val="Arial Armenian"/>
      <family val="2"/>
    </font>
    <font>
      <i/>
      <sz val="10"/>
      <color indexed="8"/>
      <name val="GHEA Grapalat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 Armenian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GHEA Grapalat"/>
      <family val="3"/>
    </font>
    <font>
      <b/>
      <sz val="12"/>
      <color rgb="FFFF0000"/>
      <name val="GHEA Grapalat"/>
      <family val="3"/>
    </font>
    <font>
      <sz val="8"/>
      <color rgb="FFFF0000"/>
      <name val="GHEA Grapalat"/>
      <family val="3"/>
    </font>
    <font>
      <sz val="9"/>
      <color rgb="FFFF0000"/>
      <name val="GHEA Grapalat"/>
      <family val="3"/>
    </font>
    <font>
      <sz val="10"/>
      <color theme="1"/>
      <name val="GHEA Grapalat"/>
      <family val="3"/>
    </font>
    <font>
      <sz val="8"/>
      <color theme="1"/>
      <name val="GHEA Grapalat"/>
      <family val="3"/>
    </font>
    <font>
      <b/>
      <sz val="11"/>
      <color rgb="FFFF0000"/>
      <name val="GHEA Grapalat"/>
      <family val="3"/>
    </font>
    <font>
      <i/>
      <sz val="9"/>
      <color theme="1"/>
      <name val="GHEA Grapalat"/>
      <family val="3"/>
    </font>
    <font>
      <b/>
      <sz val="10"/>
      <color theme="1"/>
      <name val="GHEA Grapalat"/>
      <family val="3"/>
    </font>
    <font>
      <sz val="12"/>
      <color theme="1"/>
      <name val="Arial Armenian"/>
      <family val="2"/>
    </font>
    <font>
      <b/>
      <sz val="14"/>
      <color theme="1"/>
      <name val="Arial Armenian"/>
      <family val="2"/>
    </font>
    <font>
      <sz val="9"/>
      <color theme="1"/>
      <name val="Arial Armenian"/>
      <family val="2"/>
    </font>
    <font>
      <b/>
      <sz val="9"/>
      <color theme="1"/>
      <name val="Arial Armenian"/>
      <family val="2"/>
    </font>
    <font>
      <sz val="10"/>
      <color theme="1"/>
      <name val="Arial Armenian"/>
      <family val="2"/>
    </font>
    <font>
      <b/>
      <sz val="12"/>
      <color theme="1"/>
      <name val="Arial Armenian"/>
      <family val="2"/>
    </font>
    <font>
      <b/>
      <i/>
      <sz val="12"/>
      <color theme="1"/>
      <name val="Arial Armenian"/>
      <family val="2"/>
    </font>
    <font>
      <i/>
      <sz val="10"/>
      <color theme="1"/>
      <name val="Arial Armenian"/>
      <family val="2"/>
    </font>
    <font>
      <sz val="10"/>
      <color rgb="FF000000"/>
      <name val="GHEA Mariam"/>
      <family val="3"/>
    </font>
    <font>
      <b/>
      <sz val="10"/>
      <color rgb="FFFF0000"/>
      <name val="GHEA Grapalat"/>
      <family val="3"/>
    </font>
    <font>
      <sz val="11"/>
      <color theme="1"/>
      <name val="GHEA Grapalat"/>
      <family val="3"/>
    </font>
    <font>
      <i/>
      <sz val="10"/>
      <color rgb="FFFF0000"/>
      <name val="GHEA Grapalat"/>
      <family val="3"/>
    </font>
    <font>
      <b/>
      <sz val="8"/>
      <color theme="1"/>
      <name val="GHEA Grapalat"/>
      <family val="3"/>
    </font>
    <font>
      <u val="single"/>
      <sz val="10"/>
      <color theme="1"/>
      <name val="GHEA Grapalat"/>
      <family val="3"/>
    </font>
    <font>
      <u val="single"/>
      <sz val="9"/>
      <color theme="1"/>
      <name val="GHEA Grapalat"/>
      <family val="3"/>
    </font>
    <font>
      <u val="single"/>
      <sz val="8"/>
      <color theme="1"/>
      <name val="GHEA Grapalat"/>
      <family val="3"/>
    </font>
    <font>
      <b/>
      <sz val="9"/>
      <color theme="1"/>
      <name val="GHEA Grapalat"/>
      <family val="3"/>
    </font>
    <font>
      <b/>
      <i/>
      <sz val="9"/>
      <color theme="1"/>
      <name val="GHEA Grapalat"/>
      <family val="3"/>
    </font>
    <font>
      <b/>
      <sz val="10"/>
      <color theme="1"/>
      <name val="Arial Armenian"/>
      <family val="2"/>
    </font>
    <font>
      <b/>
      <sz val="12"/>
      <color rgb="FFFF0000"/>
      <name val="Arial Armenian"/>
      <family val="2"/>
    </font>
    <font>
      <sz val="10"/>
      <color rgb="FFFF0000"/>
      <name val="Arial Armenian"/>
      <family val="2"/>
    </font>
    <font>
      <b/>
      <sz val="10"/>
      <color rgb="FFFF0000"/>
      <name val="Arial Armenian"/>
      <family val="2"/>
    </font>
    <font>
      <b/>
      <sz val="9"/>
      <color rgb="FFFF0000"/>
      <name val="GHEA Grapalat"/>
      <family val="3"/>
    </font>
    <font>
      <b/>
      <i/>
      <sz val="10"/>
      <color theme="1"/>
      <name val="GHEA Grapalat"/>
      <family val="3"/>
    </font>
    <font>
      <sz val="10"/>
      <color theme="1"/>
      <name val="GHEA Mariam"/>
      <family val="3"/>
    </font>
    <font>
      <i/>
      <sz val="10"/>
      <color theme="1"/>
      <name val="GHEA Grapalat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15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9" fillId="2" borderId="0" applyNumberFormat="0" applyBorder="0" applyAlignment="0" applyProtection="0"/>
    <xf numFmtId="0" fontId="89" fillId="3" borderId="0" applyNumberFormat="0" applyBorder="0" applyAlignment="0" applyProtection="0"/>
    <xf numFmtId="0" fontId="89" fillId="4" borderId="0" applyNumberFormat="0" applyBorder="0" applyAlignment="0" applyProtection="0"/>
    <xf numFmtId="0" fontId="89" fillId="5" borderId="0" applyNumberFormat="0" applyBorder="0" applyAlignment="0" applyProtection="0"/>
    <xf numFmtId="0" fontId="89" fillId="6" borderId="0" applyNumberFormat="0" applyBorder="0" applyAlignment="0" applyProtection="0"/>
    <xf numFmtId="0" fontId="89" fillId="7" borderId="0" applyNumberFormat="0" applyBorder="0" applyAlignment="0" applyProtection="0"/>
    <xf numFmtId="0" fontId="89" fillId="8" borderId="0" applyNumberFormat="0" applyBorder="0" applyAlignment="0" applyProtection="0"/>
    <xf numFmtId="0" fontId="89" fillId="9" borderId="0" applyNumberFormat="0" applyBorder="0" applyAlignment="0" applyProtection="0"/>
    <xf numFmtId="0" fontId="89" fillId="10" borderId="0" applyNumberFormat="0" applyBorder="0" applyAlignment="0" applyProtection="0"/>
    <xf numFmtId="0" fontId="89" fillId="11" borderId="0" applyNumberFormat="0" applyBorder="0" applyAlignment="0" applyProtection="0"/>
    <xf numFmtId="0" fontId="89" fillId="12" borderId="0" applyNumberFormat="0" applyBorder="0" applyAlignment="0" applyProtection="0"/>
    <xf numFmtId="0" fontId="89" fillId="13" borderId="0" applyNumberFormat="0" applyBorder="0" applyAlignment="0" applyProtection="0"/>
    <xf numFmtId="0" fontId="90" fillId="14" borderId="0" applyNumberFormat="0" applyBorder="0" applyAlignment="0" applyProtection="0"/>
    <xf numFmtId="0" fontId="90" fillId="15" borderId="0" applyNumberFormat="0" applyBorder="0" applyAlignment="0" applyProtection="0"/>
    <xf numFmtId="0" fontId="90" fillId="16" borderId="0" applyNumberFormat="0" applyBorder="0" applyAlignment="0" applyProtection="0"/>
    <xf numFmtId="0" fontId="90" fillId="17" borderId="0" applyNumberFormat="0" applyBorder="0" applyAlignment="0" applyProtection="0"/>
    <xf numFmtId="0" fontId="90" fillId="18" borderId="0" applyNumberFormat="0" applyBorder="0" applyAlignment="0" applyProtection="0"/>
    <xf numFmtId="0" fontId="90" fillId="19" borderId="0" applyNumberFormat="0" applyBorder="0" applyAlignment="0" applyProtection="0"/>
    <xf numFmtId="0" fontId="90" fillId="20" borderId="0" applyNumberFormat="0" applyBorder="0" applyAlignment="0" applyProtection="0"/>
    <xf numFmtId="0" fontId="90" fillId="21" borderId="0" applyNumberFormat="0" applyBorder="0" applyAlignment="0" applyProtection="0"/>
    <xf numFmtId="0" fontId="90" fillId="22" borderId="0" applyNumberFormat="0" applyBorder="0" applyAlignment="0" applyProtection="0"/>
    <xf numFmtId="0" fontId="90" fillId="23" borderId="0" applyNumberFormat="0" applyBorder="0" applyAlignment="0" applyProtection="0"/>
    <xf numFmtId="0" fontId="90" fillId="24" borderId="0" applyNumberFormat="0" applyBorder="0" applyAlignment="0" applyProtection="0"/>
    <xf numFmtId="0" fontId="90" fillId="25" borderId="0" applyNumberFormat="0" applyBorder="0" applyAlignment="0" applyProtection="0"/>
    <xf numFmtId="0" fontId="91" fillId="26" borderId="0" applyNumberFormat="0" applyBorder="0" applyAlignment="0" applyProtection="0"/>
    <xf numFmtId="0" fontId="92" fillId="27" borderId="1" applyNumberFormat="0" applyAlignment="0" applyProtection="0"/>
    <xf numFmtId="0" fontId="9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5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200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5" fontId="38" fillId="0" borderId="0" applyFont="0" applyFill="0" applyBorder="0" applyAlignment="0" applyProtection="0"/>
    <xf numFmtId="200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85" fontId="38" fillId="0" borderId="0" applyFont="0" applyFill="0" applyBorder="0" applyAlignment="0" applyProtection="0"/>
    <xf numFmtId="17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5" fontId="38" fillId="0" borderId="0" applyFont="0" applyFill="0" applyBorder="0" applyAlignment="0" applyProtection="0"/>
    <xf numFmtId="185" fontId="38" fillId="0" borderId="0" applyFont="0" applyFill="0" applyBorder="0" applyAlignment="0" applyProtection="0"/>
    <xf numFmtId="17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5" fontId="38" fillId="0" borderId="0" applyFont="0" applyFill="0" applyBorder="0" applyAlignment="0" applyProtection="0"/>
    <xf numFmtId="17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5" fontId="38" fillId="0" borderId="0" applyFont="0" applyFill="0" applyBorder="0" applyAlignment="0" applyProtection="0"/>
    <xf numFmtId="171" fontId="40" fillId="0" borderId="0" applyFont="0" applyFill="0" applyBorder="0" applyAlignment="0" applyProtection="0"/>
    <xf numFmtId="200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200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95" fillId="29" borderId="0" applyNumberFormat="0" applyBorder="0" applyAlignment="0" applyProtection="0"/>
    <xf numFmtId="0" fontId="96" fillId="0" borderId="3" applyNumberFormat="0" applyFill="0" applyAlignment="0" applyProtection="0"/>
    <xf numFmtId="0" fontId="97" fillId="0" borderId="4" applyNumberFormat="0" applyFill="0" applyAlignment="0" applyProtection="0"/>
    <xf numFmtId="0" fontId="98" fillId="0" borderId="5" applyNumberFormat="0" applyFill="0" applyAlignment="0" applyProtection="0"/>
    <xf numFmtId="0" fontId="9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9" fillId="30" borderId="1" applyNumberFormat="0" applyAlignment="0" applyProtection="0"/>
    <xf numFmtId="0" fontId="100" fillId="0" borderId="6" applyNumberFormat="0" applyFill="0" applyAlignment="0" applyProtection="0"/>
    <xf numFmtId="0" fontId="101" fillId="31" borderId="0" applyNumberFormat="0" applyBorder="0" applyAlignment="0" applyProtection="0"/>
    <xf numFmtId="0" fontId="40" fillId="0" borderId="0">
      <alignment/>
      <protection/>
    </xf>
    <xf numFmtId="0" fontId="38" fillId="0" borderId="0">
      <alignment/>
      <protection/>
    </xf>
    <xf numFmtId="0" fontId="102" fillId="0" borderId="0">
      <alignment/>
      <protection/>
    </xf>
    <xf numFmtId="0" fontId="8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32" borderId="7" applyNumberFormat="0" applyFont="0" applyAlignment="0" applyProtection="0"/>
    <xf numFmtId="0" fontId="103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04" fillId="0" borderId="0" applyNumberFormat="0" applyFill="0" applyBorder="0" applyAlignment="0" applyProtection="0"/>
    <xf numFmtId="0" fontId="105" fillId="0" borderId="9" applyNumberFormat="0" applyFill="0" applyAlignment="0" applyProtection="0"/>
    <xf numFmtId="0" fontId="10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171" fontId="0" fillId="0" borderId="0" applyFont="0" applyFill="0" applyBorder="0" applyAlignment="0" applyProtection="0"/>
    <xf numFmtId="171" fontId="40" fillId="0" borderId="0" applyFont="0" applyFill="0" applyBorder="0" applyAlignment="0" applyProtection="0"/>
    <xf numFmtId="200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20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5" fontId="38" fillId="0" borderId="0" applyFont="0" applyFill="0" applyBorder="0" applyAlignment="0" applyProtection="0"/>
    <xf numFmtId="185" fontId="38" fillId="0" borderId="0" applyFont="0" applyFill="0" applyBorder="0" applyAlignment="0" applyProtection="0"/>
    <xf numFmtId="17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658">
    <xf numFmtId="0" fontId="0" fillId="0" borderId="0" xfId="0" applyAlignment="1">
      <alignment/>
    </xf>
    <xf numFmtId="0" fontId="8" fillId="33" borderId="0" xfId="0" applyFont="1" applyFill="1" applyBorder="1" applyAlignment="1">
      <alignment horizontal="center" wrapText="1"/>
    </xf>
    <xf numFmtId="0" fontId="9" fillId="33" borderId="0" xfId="0" applyFont="1" applyFill="1" applyBorder="1" applyAlignment="1">
      <alignment horizontal="center" wrapText="1"/>
    </xf>
    <xf numFmtId="0" fontId="10" fillId="33" borderId="0" xfId="0" applyFont="1" applyFill="1" applyBorder="1" applyAlignment="1">
      <alignment horizontal="centerContinuous" wrapText="1"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12" fillId="33" borderId="0" xfId="0" applyFont="1" applyFill="1" applyBorder="1" applyAlignment="1">
      <alignment horizontal="left" wrapText="1"/>
    </xf>
    <xf numFmtId="0" fontId="14" fillId="33" borderId="10" xfId="0" applyFont="1" applyFill="1" applyBorder="1" applyAlignment="1">
      <alignment horizontal="centerContinuous" wrapText="1"/>
    </xf>
    <xf numFmtId="0" fontId="10" fillId="33" borderId="10" xfId="0" applyFont="1" applyFill="1" applyBorder="1" applyAlignment="1">
      <alignment horizontal="centerContinuous" wrapText="1"/>
    </xf>
    <xf numFmtId="0" fontId="11" fillId="33" borderId="0" xfId="0" applyFont="1" applyFill="1" applyBorder="1" applyAlignment="1">
      <alignment horizontal="centerContinuous" wrapText="1"/>
    </xf>
    <xf numFmtId="0" fontId="11" fillId="33" borderId="0" xfId="0" applyFont="1" applyFill="1" applyBorder="1" applyAlignment="1">
      <alignment horizontal="center" wrapText="1"/>
    </xf>
    <xf numFmtId="0" fontId="11" fillId="0" borderId="11" xfId="0" applyFont="1" applyBorder="1" applyAlignment="1">
      <alignment wrapText="1"/>
    </xf>
    <xf numFmtId="0" fontId="11" fillId="0" borderId="11" xfId="0" applyFont="1" applyBorder="1" applyAlignment="1">
      <alignment horizontal="center" wrapText="1"/>
    </xf>
    <xf numFmtId="0" fontId="11" fillId="0" borderId="11" xfId="0" applyFont="1" applyBorder="1" applyAlignment="1">
      <alignment horizontal="centerContinuous" wrapText="1"/>
    </xf>
    <xf numFmtId="0" fontId="15" fillId="0" borderId="11" xfId="0" applyFont="1" applyBorder="1" applyAlignment="1">
      <alignment horizontal="center" wrapText="1"/>
    </xf>
    <xf numFmtId="0" fontId="15" fillId="0" borderId="0" xfId="0" applyFont="1" applyAlignment="1">
      <alignment/>
    </xf>
    <xf numFmtId="0" fontId="11" fillId="0" borderId="11" xfId="0" applyFont="1" applyFill="1" applyBorder="1" applyAlignment="1">
      <alignment wrapText="1"/>
    </xf>
    <xf numFmtId="186" fontId="11" fillId="0" borderId="11" xfId="0" applyNumberFormat="1" applyFont="1" applyFill="1" applyBorder="1" applyAlignment="1">
      <alignment horizontal="center" wrapText="1"/>
    </xf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/>
    </xf>
    <xf numFmtId="0" fontId="14" fillId="0" borderId="11" xfId="0" applyFont="1" applyBorder="1" applyAlignment="1">
      <alignment wrapText="1"/>
    </xf>
    <xf numFmtId="0" fontId="11" fillId="33" borderId="0" xfId="0" applyFont="1" applyFill="1" applyBorder="1" applyAlignment="1">
      <alignment horizontal="centerContinuous"/>
    </xf>
    <xf numFmtId="0" fontId="12" fillId="33" borderId="10" xfId="0" applyFont="1" applyFill="1" applyBorder="1" applyAlignment="1">
      <alignment horizontal="left" wrapText="1"/>
    </xf>
    <xf numFmtId="0" fontId="14" fillId="33" borderId="0" xfId="0" applyFont="1" applyFill="1" applyBorder="1" applyAlignment="1">
      <alignment horizontal="centerContinuous" wrapText="1"/>
    </xf>
    <xf numFmtId="0" fontId="16" fillId="0" borderId="11" xfId="0" applyFont="1" applyBorder="1" applyAlignment="1">
      <alignment horizontal="center" wrapText="1"/>
    </xf>
    <xf numFmtId="0" fontId="11" fillId="0" borderId="11" xfId="0" applyFont="1" applyFill="1" applyBorder="1" applyAlignment="1">
      <alignment horizontal="center" wrapText="1"/>
    </xf>
    <xf numFmtId="186" fontId="14" fillId="34" borderId="11" xfId="0" applyNumberFormat="1" applyFont="1" applyFill="1" applyBorder="1" applyAlignment="1">
      <alignment horizontal="center" wrapText="1"/>
    </xf>
    <xf numFmtId="0" fontId="14" fillId="34" borderId="0" xfId="0" applyFont="1" applyFill="1" applyAlignment="1">
      <alignment/>
    </xf>
    <xf numFmtId="0" fontId="14" fillId="33" borderId="11" xfId="0" applyFont="1" applyFill="1" applyBorder="1" applyAlignment="1">
      <alignment wrapText="1"/>
    </xf>
    <xf numFmtId="0" fontId="11" fillId="33" borderId="11" xfId="0" applyFont="1" applyFill="1" applyBorder="1" applyAlignment="1">
      <alignment horizontal="center" wrapText="1"/>
    </xf>
    <xf numFmtId="0" fontId="11" fillId="33" borderId="0" xfId="0" applyFont="1" applyFill="1" applyAlignment="1">
      <alignment horizontal="center"/>
    </xf>
    <xf numFmtId="0" fontId="11" fillId="33" borderId="0" xfId="0" applyFont="1" applyFill="1" applyAlignment="1">
      <alignment/>
    </xf>
    <xf numFmtId="0" fontId="14" fillId="33" borderId="0" xfId="0" applyFont="1" applyFill="1" applyAlignment="1">
      <alignment horizontal="center"/>
    </xf>
    <xf numFmtId="0" fontId="14" fillId="33" borderId="0" xfId="0" applyFont="1" applyFill="1" applyAlignment="1">
      <alignment/>
    </xf>
    <xf numFmtId="0" fontId="17" fillId="34" borderId="11" xfId="0" applyFont="1" applyFill="1" applyBorder="1" applyAlignment="1">
      <alignment wrapText="1"/>
    </xf>
    <xf numFmtId="186" fontId="14" fillId="33" borderId="11" xfId="0" applyNumberFormat="1" applyFont="1" applyFill="1" applyBorder="1" applyAlignment="1">
      <alignment horizontal="center" wrapText="1"/>
    </xf>
    <xf numFmtId="0" fontId="14" fillId="33" borderId="0" xfId="0" applyFont="1" applyFill="1" applyBorder="1" applyAlignment="1">
      <alignment horizontal="center" wrapText="1"/>
    </xf>
    <xf numFmtId="0" fontId="19" fillId="0" borderId="0" xfId="0" applyFont="1" applyAlignment="1">
      <alignment horizontal="center"/>
    </xf>
    <xf numFmtId="0" fontId="18" fillId="0" borderId="0" xfId="0" applyFont="1" applyAlignment="1">
      <alignment/>
    </xf>
    <xf numFmtId="0" fontId="15" fillId="33" borderId="0" xfId="0" applyFont="1" applyFill="1" applyAlignment="1">
      <alignment horizontal="center"/>
    </xf>
    <xf numFmtId="0" fontId="15" fillId="33" borderId="0" xfId="0" applyFont="1" applyFill="1" applyAlignment="1">
      <alignment horizontal="centerContinuous" wrapText="1"/>
    </xf>
    <xf numFmtId="0" fontId="15" fillId="33" borderId="0" xfId="0" applyFont="1" applyFill="1" applyAlignment="1">
      <alignment horizontal="centerContinuous"/>
    </xf>
    <xf numFmtId="0" fontId="20" fillId="33" borderId="0" xfId="0" applyFont="1" applyFill="1" applyAlignment="1">
      <alignment horizontal="centerContinuous"/>
    </xf>
    <xf numFmtId="186" fontId="15" fillId="33" borderId="0" xfId="0" applyNumberFormat="1" applyFont="1" applyFill="1" applyAlignment="1">
      <alignment horizontal="center"/>
    </xf>
    <xf numFmtId="0" fontId="15" fillId="33" borderId="0" xfId="0" applyFont="1" applyFill="1" applyAlignment="1">
      <alignment wrapText="1"/>
    </xf>
    <xf numFmtId="0" fontId="20" fillId="33" borderId="0" xfId="0" applyFont="1" applyFill="1" applyAlignment="1">
      <alignment horizontal="center"/>
    </xf>
    <xf numFmtId="0" fontId="15" fillId="33" borderId="0" xfId="0" applyFont="1" applyFill="1" applyAlignment="1">
      <alignment/>
    </xf>
    <xf numFmtId="0" fontId="15" fillId="33" borderId="12" xfId="0" applyFont="1" applyFill="1" applyBorder="1" applyAlignment="1">
      <alignment horizontal="center"/>
    </xf>
    <xf numFmtId="1" fontId="14" fillId="33" borderId="12" xfId="0" applyNumberFormat="1" applyFont="1" applyFill="1" applyBorder="1" applyAlignment="1">
      <alignment horizontal="center"/>
    </xf>
    <xf numFmtId="0" fontId="15" fillId="33" borderId="12" xfId="0" applyFont="1" applyFill="1" applyBorder="1" applyAlignment="1">
      <alignment wrapText="1"/>
    </xf>
    <xf numFmtId="0" fontId="15" fillId="0" borderId="13" xfId="0" applyFont="1" applyBorder="1" applyAlignment="1">
      <alignment horizontal="centerContinuous" wrapText="1"/>
    </xf>
    <xf numFmtId="0" fontId="15" fillId="0" borderId="14" xfId="0" applyFont="1" applyBorder="1" applyAlignment="1">
      <alignment horizontal="centerContinuous" wrapText="1"/>
    </xf>
    <xf numFmtId="0" fontId="15" fillId="0" borderId="15" xfId="0" applyFont="1" applyBorder="1" applyAlignment="1">
      <alignment horizontal="centerContinuous" wrapText="1"/>
    </xf>
    <xf numFmtId="0" fontId="15" fillId="0" borderId="13" xfId="0" applyFont="1" applyBorder="1" applyAlignment="1">
      <alignment horizontal="centerContinuous"/>
    </xf>
    <xf numFmtId="0" fontId="20" fillId="0" borderId="14" xfId="0" applyFont="1" applyBorder="1" applyAlignment="1">
      <alignment horizontal="centerContinuous"/>
    </xf>
    <xf numFmtId="0" fontId="15" fillId="0" borderId="14" xfId="0" applyFont="1" applyBorder="1" applyAlignment="1">
      <alignment horizontal="centerContinuous"/>
    </xf>
    <xf numFmtId="0" fontId="15" fillId="0" borderId="15" xfId="0" applyFont="1" applyBorder="1" applyAlignment="1">
      <alignment horizontal="centerContinuous"/>
    </xf>
    <xf numFmtId="0" fontId="11" fillId="33" borderId="16" xfId="0" applyFont="1" applyFill="1" applyBorder="1" applyAlignment="1">
      <alignment horizontal="center"/>
    </xf>
    <xf numFmtId="0" fontId="16" fillId="33" borderId="16" xfId="0" applyFont="1" applyFill="1" applyBorder="1" applyAlignment="1">
      <alignment wrapText="1"/>
    </xf>
    <xf numFmtId="0" fontId="15" fillId="33" borderId="16" xfId="0" applyFont="1" applyFill="1" applyBorder="1" applyAlignment="1">
      <alignment horizontal="center" wrapText="1"/>
    </xf>
    <xf numFmtId="0" fontId="15" fillId="0" borderId="11" xfId="0" applyFont="1" applyBorder="1" applyAlignment="1">
      <alignment horizontal="centerContinuous" wrapText="1"/>
    </xf>
    <xf numFmtId="0" fontId="15" fillId="33" borderId="11" xfId="0" applyFont="1" applyFill="1" applyBorder="1" applyAlignment="1">
      <alignment horizontal="center" wrapText="1"/>
    </xf>
    <xf numFmtId="0" fontId="15" fillId="33" borderId="17" xfId="0" applyFont="1" applyFill="1" applyBorder="1" applyAlignment="1">
      <alignment horizontal="center" wrapText="1"/>
    </xf>
    <xf numFmtId="0" fontId="21" fillId="33" borderId="17" xfId="0" applyFont="1" applyFill="1" applyBorder="1" applyAlignment="1">
      <alignment horizontal="center" wrapText="1"/>
    </xf>
    <xf numFmtId="0" fontId="15" fillId="0" borderId="17" xfId="0" applyFont="1" applyBorder="1" applyAlignment="1">
      <alignment horizontal="center" wrapText="1"/>
    </xf>
    <xf numFmtId="0" fontId="16" fillId="0" borderId="17" xfId="0" applyFont="1" applyBorder="1" applyAlignment="1">
      <alignment wrapText="1"/>
    </xf>
    <xf numFmtId="0" fontId="20" fillId="0" borderId="11" xfId="0" applyFont="1" applyBorder="1" applyAlignment="1">
      <alignment horizontal="center" wrapText="1"/>
    </xf>
    <xf numFmtId="0" fontId="15" fillId="0" borderId="0" xfId="0" applyFont="1" applyAlignment="1">
      <alignment wrapText="1"/>
    </xf>
    <xf numFmtId="0" fontId="11" fillId="0" borderId="11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19" fillId="0" borderId="11" xfId="0" applyFont="1" applyBorder="1" applyAlignment="1">
      <alignment horizontal="center" wrapText="1"/>
    </xf>
    <xf numFmtId="0" fontId="16" fillId="0" borderId="11" xfId="0" applyFont="1" applyBorder="1" applyAlignment="1">
      <alignment wrapText="1"/>
    </xf>
    <xf numFmtId="186" fontId="11" fillId="0" borderId="11" xfId="0" applyNumberFormat="1" applyFont="1" applyBorder="1" applyAlignment="1">
      <alignment horizontal="center"/>
    </xf>
    <xf numFmtId="186" fontId="11" fillId="0" borderId="11" xfId="0" applyNumberFormat="1" applyFont="1" applyBorder="1" applyAlignment="1">
      <alignment horizontal="centerContinuous" wrapText="1"/>
    </xf>
    <xf numFmtId="0" fontId="15" fillId="0" borderId="11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186" fontId="15" fillId="0" borderId="11" xfId="0" applyNumberFormat="1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186" fontId="11" fillId="0" borderId="11" xfId="0" applyNumberFormat="1" applyFont="1" applyBorder="1" applyAlignment="1">
      <alignment horizontal="center" wrapText="1"/>
    </xf>
    <xf numFmtId="186" fontId="18" fillId="0" borderId="11" xfId="0" applyNumberFormat="1" applyFont="1" applyBorder="1" applyAlignment="1">
      <alignment horizontal="center"/>
    </xf>
    <xf numFmtId="0" fontId="11" fillId="34" borderId="11" xfId="0" applyFont="1" applyFill="1" applyBorder="1" applyAlignment="1">
      <alignment horizontal="center"/>
    </xf>
    <xf numFmtId="0" fontId="11" fillId="34" borderId="11" xfId="0" applyFont="1" applyFill="1" applyBorder="1" applyAlignment="1">
      <alignment horizontal="center" wrapText="1"/>
    </xf>
    <xf numFmtId="1" fontId="11" fillId="34" borderId="11" xfId="0" applyNumberFormat="1" applyFont="1" applyFill="1" applyBorder="1" applyAlignment="1">
      <alignment horizontal="center"/>
    </xf>
    <xf numFmtId="0" fontId="19" fillId="34" borderId="11" xfId="0" applyFont="1" applyFill="1" applyBorder="1" applyAlignment="1">
      <alignment horizontal="center"/>
    </xf>
    <xf numFmtId="186" fontId="11" fillId="34" borderId="11" xfId="0" applyNumberFormat="1" applyFont="1" applyFill="1" applyBorder="1" applyAlignment="1">
      <alignment horizontal="center"/>
    </xf>
    <xf numFmtId="0" fontId="11" fillId="34" borderId="0" xfId="0" applyFont="1" applyFill="1" applyAlignment="1">
      <alignment/>
    </xf>
    <xf numFmtId="0" fontId="16" fillId="0" borderId="11" xfId="0" applyFont="1" applyBorder="1" applyAlignment="1">
      <alignment horizontal="left" wrapText="1"/>
    </xf>
    <xf numFmtId="0" fontId="11" fillId="0" borderId="0" xfId="0" applyFont="1" applyAlignment="1">
      <alignment wrapText="1"/>
    </xf>
    <xf numFmtId="49" fontId="16" fillId="0" borderId="0" xfId="0" applyNumberFormat="1" applyFont="1" applyBorder="1" applyAlignment="1">
      <alignment horizontal="centerContinuous" wrapText="1"/>
    </xf>
    <xf numFmtId="0" fontId="11" fillId="0" borderId="0" xfId="0" applyFont="1" applyAlignment="1">
      <alignment horizontal="centerContinuous" wrapText="1"/>
    </xf>
    <xf numFmtId="0" fontId="11" fillId="0" borderId="0" xfId="0" applyFont="1" applyAlignment="1">
      <alignment horizontal="centerContinuous"/>
    </xf>
    <xf numFmtId="0" fontId="19" fillId="0" borderId="0" xfId="0" applyFont="1" applyAlignment="1">
      <alignment horizontal="centerContinuous"/>
    </xf>
    <xf numFmtId="186" fontId="11" fillId="0" borderId="0" xfId="0" applyNumberFormat="1" applyFont="1" applyAlignment="1">
      <alignment horizontal="centerContinuous"/>
    </xf>
    <xf numFmtId="186" fontId="8" fillId="34" borderId="18" xfId="0" applyNumberFormat="1" applyFont="1" applyFill="1" applyBorder="1" applyAlignment="1">
      <alignment horizontal="center"/>
    </xf>
    <xf numFmtId="49" fontId="16" fillId="0" borderId="0" xfId="0" applyNumberFormat="1" applyFont="1" applyAlignment="1">
      <alignment horizontal="centerContinuous" wrapText="1"/>
    </xf>
    <xf numFmtId="0" fontId="16" fillId="0" borderId="0" xfId="0" applyFont="1" applyAlignment="1">
      <alignment wrapText="1"/>
    </xf>
    <xf numFmtId="0" fontId="15" fillId="0" borderId="19" xfId="0" applyFont="1" applyBorder="1" applyAlignment="1">
      <alignment horizontal="center"/>
    </xf>
    <xf numFmtId="0" fontId="15" fillId="33" borderId="20" xfId="0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/>
    </xf>
    <xf numFmtId="0" fontId="26" fillId="33" borderId="11" xfId="0" applyFont="1" applyFill="1" applyBorder="1" applyAlignment="1">
      <alignment/>
    </xf>
    <xf numFmtId="0" fontId="11" fillId="33" borderId="0" xfId="0" applyFont="1" applyFill="1" applyAlignment="1">
      <alignment wrapText="1"/>
    </xf>
    <xf numFmtId="0" fontId="11" fillId="0" borderId="17" xfId="0" applyFont="1" applyBorder="1" applyAlignment="1">
      <alignment horizontal="center" vertical="center" wrapText="1"/>
    </xf>
    <xf numFmtId="0" fontId="11" fillId="0" borderId="11" xfId="0" applyFont="1" applyBorder="1" applyAlignment="1">
      <alignment/>
    </xf>
    <xf numFmtId="186" fontId="11" fillId="0" borderId="11" xfId="0" applyNumberFormat="1" applyFont="1" applyBorder="1" applyAlignment="1">
      <alignment/>
    </xf>
    <xf numFmtId="0" fontId="18" fillId="0" borderId="11" xfId="0" applyFont="1" applyBorder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16" fillId="33" borderId="0" xfId="0" applyFont="1" applyFill="1" applyAlignment="1">
      <alignment wrapText="1"/>
    </xf>
    <xf numFmtId="0" fontId="11" fillId="33" borderId="0" xfId="0" applyFont="1" applyFill="1" applyAlignment="1">
      <alignment horizontal="centerContinuous" wrapText="1"/>
    </xf>
    <xf numFmtId="0" fontId="16" fillId="33" borderId="0" xfId="0" applyFont="1" applyFill="1" applyAlignment="1">
      <alignment horizontal="centerContinuous" wrapText="1"/>
    </xf>
    <xf numFmtId="0" fontId="15" fillId="33" borderId="11" xfId="0" applyFont="1" applyFill="1" applyBorder="1" applyAlignment="1">
      <alignment horizontal="center"/>
    </xf>
    <xf numFmtId="0" fontId="15" fillId="33" borderId="11" xfId="0" applyFont="1" applyFill="1" applyBorder="1" applyAlignment="1">
      <alignment wrapText="1"/>
    </xf>
    <xf numFmtId="0" fontId="21" fillId="33" borderId="11" xfId="0" applyFont="1" applyFill="1" applyBorder="1" applyAlignment="1">
      <alignment horizontal="center" wrapText="1"/>
    </xf>
    <xf numFmtId="186" fontId="16" fillId="0" borderId="11" xfId="0" applyNumberFormat="1" applyFont="1" applyBorder="1" applyAlignment="1">
      <alignment horizontal="center" wrapText="1"/>
    </xf>
    <xf numFmtId="0" fontId="10" fillId="0" borderId="11" xfId="0" applyFont="1" applyBorder="1" applyAlignment="1">
      <alignment horizontal="center"/>
    </xf>
    <xf numFmtId="0" fontId="25" fillId="0" borderId="11" xfId="0" applyFont="1" applyBorder="1" applyAlignment="1">
      <alignment wrapText="1"/>
    </xf>
    <xf numFmtId="0" fontId="24" fillId="0" borderId="11" xfId="0" applyFont="1" applyBorder="1" applyAlignment="1">
      <alignment horizontal="center" wrapText="1"/>
    </xf>
    <xf numFmtId="186" fontId="14" fillId="0" borderId="11" xfId="0" applyNumberFormat="1" applyFont="1" applyBorder="1" applyAlignment="1">
      <alignment horizontal="center" wrapText="1"/>
    </xf>
    <xf numFmtId="0" fontId="25" fillId="0" borderId="0" xfId="0" applyFont="1" applyBorder="1" applyAlignment="1">
      <alignment horizontal="centerContinuous" wrapText="1"/>
    </xf>
    <xf numFmtId="0" fontId="16" fillId="0" borderId="0" xfId="0" applyFont="1" applyAlignment="1">
      <alignment horizontal="centerContinuous" wrapText="1"/>
    </xf>
    <xf numFmtId="0" fontId="10" fillId="33" borderId="0" xfId="0" applyFont="1" applyFill="1" applyBorder="1" applyAlignment="1">
      <alignment horizontal="center" wrapText="1"/>
    </xf>
    <xf numFmtId="0" fontId="11" fillId="33" borderId="0" xfId="0" applyFont="1" applyFill="1" applyAlignment="1">
      <alignment horizontal="centerContinuous"/>
    </xf>
    <xf numFmtId="0" fontId="14" fillId="0" borderId="11" xfId="0" applyFont="1" applyBorder="1" applyAlignment="1">
      <alignment horizontal="center"/>
    </xf>
    <xf numFmtId="186" fontId="24" fillId="0" borderId="11" xfId="0" applyNumberFormat="1" applyFont="1" applyBorder="1" applyAlignment="1">
      <alignment horizontal="center" wrapText="1"/>
    </xf>
    <xf numFmtId="0" fontId="16" fillId="33" borderId="0" xfId="0" applyFont="1" applyFill="1" applyBorder="1" applyAlignment="1">
      <alignment horizontal="centerContinuous" wrapText="1"/>
    </xf>
    <xf numFmtId="0" fontId="16" fillId="0" borderId="11" xfId="0" applyFont="1" applyBorder="1" applyAlignment="1">
      <alignment horizontal="center"/>
    </xf>
    <xf numFmtId="0" fontId="16" fillId="33" borderId="11" xfId="0" applyFont="1" applyFill="1" applyBorder="1" applyAlignment="1">
      <alignment horizontal="center" wrapText="1"/>
    </xf>
    <xf numFmtId="186" fontId="16" fillId="0" borderId="11" xfId="0" applyNumberFormat="1" applyFont="1" applyBorder="1" applyAlignment="1">
      <alignment horizontal="center"/>
    </xf>
    <xf numFmtId="0" fontId="24" fillId="0" borderId="11" xfId="0" applyFont="1" applyBorder="1" applyAlignment="1">
      <alignment horizontal="center"/>
    </xf>
    <xf numFmtId="0" fontId="24" fillId="33" borderId="0" xfId="0" applyFont="1" applyFill="1" applyBorder="1" applyAlignment="1">
      <alignment horizontal="center"/>
    </xf>
    <xf numFmtId="0" fontId="24" fillId="33" borderId="0" xfId="0" applyFont="1" applyFill="1" applyBorder="1" applyAlignment="1">
      <alignment horizontal="centerContinuous" wrapText="1"/>
    </xf>
    <xf numFmtId="0" fontId="24" fillId="33" borderId="0" xfId="0" applyFont="1" applyFill="1" applyBorder="1" applyAlignment="1">
      <alignment horizontal="center" vertical="distributed" wrapText="1" readingOrder="1"/>
    </xf>
    <xf numFmtId="186" fontId="24" fillId="33" borderId="0" xfId="0" applyNumberFormat="1" applyFont="1" applyFill="1" applyBorder="1" applyAlignment="1">
      <alignment horizontal="center" vertical="distributed" wrapText="1" readingOrder="1"/>
    </xf>
    <xf numFmtId="186" fontId="16" fillId="33" borderId="0" xfId="0" applyNumberFormat="1" applyFont="1" applyFill="1" applyBorder="1" applyAlignment="1">
      <alignment horizontal="centerContinuous" wrapText="1"/>
    </xf>
    <xf numFmtId="0" fontId="14" fillId="33" borderId="0" xfId="0" applyFont="1" applyFill="1" applyAlignment="1">
      <alignment horizontal="centerContinuous"/>
    </xf>
    <xf numFmtId="0" fontId="10" fillId="33" borderId="0" xfId="0" applyFont="1" applyFill="1" applyBorder="1" applyAlignment="1">
      <alignment wrapText="1"/>
    </xf>
    <xf numFmtId="0" fontId="11" fillId="0" borderId="21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14" fillId="0" borderId="23" xfId="0" applyFont="1" applyBorder="1" applyAlignment="1">
      <alignment horizontal="center" wrapText="1"/>
    </xf>
    <xf numFmtId="0" fontId="11" fillId="0" borderId="24" xfId="0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14" fillId="0" borderId="16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wrapText="1"/>
    </xf>
    <xf numFmtId="0" fontId="15" fillId="33" borderId="24" xfId="0" applyFont="1" applyFill="1" applyBorder="1" applyAlignment="1">
      <alignment horizontal="center"/>
    </xf>
    <xf numFmtId="0" fontId="15" fillId="33" borderId="25" xfId="0" applyFont="1" applyFill="1" applyBorder="1" applyAlignment="1">
      <alignment horizontal="center"/>
    </xf>
    <xf numFmtId="0" fontId="15" fillId="0" borderId="16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10" fillId="33" borderId="27" xfId="0" applyFont="1" applyFill="1" applyBorder="1" applyAlignment="1">
      <alignment horizontal="center" wrapText="1"/>
    </xf>
    <xf numFmtId="0" fontId="11" fillId="0" borderId="28" xfId="0" applyFont="1" applyBorder="1" applyAlignment="1">
      <alignment horizontal="center"/>
    </xf>
    <xf numFmtId="0" fontId="11" fillId="0" borderId="17" xfId="0" applyFont="1" applyBorder="1" applyAlignment="1">
      <alignment horizontal="left" vertical="center"/>
    </xf>
    <xf numFmtId="186" fontId="11" fillId="0" borderId="17" xfId="0" applyNumberFormat="1" applyFont="1" applyBorder="1" applyAlignment="1">
      <alignment horizontal="center" vertical="center" wrapText="1"/>
    </xf>
    <xf numFmtId="186" fontId="11" fillId="0" borderId="29" xfId="0" applyNumberFormat="1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/>
    </xf>
    <xf numFmtId="0" fontId="11" fillId="0" borderId="11" xfId="0" applyFont="1" applyBorder="1" applyAlignment="1">
      <alignment horizontal="left" vertical="center"/>
    </xf>
    <xf numFmtId="186" fontId="11" fillId="0" borderId="11" xfId="0" applyNumberFormat="1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/>
    </xf>
    <xf numFmtId="0" fontId="11" fillId="0" borderId="12" xfId="0" applyFont="1" applyBorder="1" applyAlignment="1">
      <alignment wrapText="1"/>
    </xf>
    <xf numFmtId="0" fontId="11" fillId="0" borderId="19" xfId="0" applyFont="1" applyBorder="1" applyAlignment="1">
      <alignment horizontal="center"/>
    </xf>
    <xf numFmtId="0" fontId="14" fillId="35" borderId="20" xfId="0" applyFont="1" applyFill="1" applyBorder="1" applyAlignment="1">
      <alignment wrapText="1"/>
    </xf>
    <xf numFmtId="0" fontId="14" fillId="35" borderId="20" xfId="0" applyFont="1" applyFill="1" applyBorder="1" applyAlignment="1">
      <alignment horizontal="center" vertical="center"/>
    </xf>
    <xf numFmtId="186" fontId="14" fillId="35" borderId="20" xfId="0" applyNumberFormat="1" applyFont="1" applyFill="1" applyBorder="1" applyAlignment="1">
      <alignment horizontal="center" vertical="center"/>
    </xf>
    <xf numFmtId="186" fontId="14" fillId="35" borderId="32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wrapText="1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11" fillId="33" borderId="10" xfId="0" applyFont="1" applyFill="1" applyBorder="1" applyAlignment="1">
      <alignment horizontal="centerContinuous" wrapText="1"/>
    </xf>
    <xf numFmtId="0" fontId="12" fillId="33" borderId="0" xfId="0" applyFont="1" applyFill="1" applyBorder="1" applyAlignment="1">
      <alignment horizontal="centerContinuous" wrapText="1"/>
    </xf>
    <xf numFmtId="0" fontId="11" fillId="33" borderId="0" xfId="0" applyFont="1" applyFill="1" applyBorder="1" applyAlignment="1">
      <alignment/>
    </xf>
    <xf numFmtId="0" fontId="11" fillId="0" borderId="0" xfId="0" applyFont="1" applyBorder="1" applyAlignment="1">
      <alignment/>
    </xf>
    <xf numFmtId="0" fontId="11" fillId="33" borderId="0" xfId="0" applyFont="1" applyFill="1" applyAlignment="1">
      <alignment horizontal="center" wrapText="1"/>
    </xf>
    <xf numFmtId="0" fontId="14" fillId="0" borderId="0" xfId="0" applyFont="1" applyFill="1" applyAlignment="1">
      <alignment wrapText="1"/>
    </xf>
    <xf numFmtId="0" fontId="14" fillId="33" borderId="0" xfId="0" applyFont="1" applyFill="1" applyAlignment="1">
      <alignment wrapText="1"/>
    </xf>
    <xf numFmtId="0" fontId="14" fillId="33" borderId="0" xfId="0" applyFont="1" applyFill="1" applyAlignment="1">
      <alignment horizontal="center" wrapText="1"/>
    </xf>
    <xf numFmtId="0" fontId="14" fillId="33" borderId="0" xfId="0" applyFont="1" applyFill="1" applyBorder="1" applyAlignment="1">
      <alignment wrapText="1"/>
    </xf>
    <xf numFmtId="0" fontId="11" fillId="33" borderId="23" xfId="0" applyFont="1" applyFill="1" applyBorder="1" applyAlignment="1">
      <alignment wrapText="1"/>
    </xf>
    <xf numFmtId="0" fontId="11" fillId="33" borderId="23" xfId="0" applyFont="1" applyFill="1" applyBorder="1" applyAlignment="1">
      <alignment horizontal="center" wrapText="1"/>
    </xf>
    <xf numFmtId="0" fontId="14" fillId="0" borderId="33" xfId="0" applyFont="1" applyFill="1" applyBorder="1" applyAlignment="1">
      <alignment horizontal="center" wrapText="1"/>
    </xf>
    <xf numFmtId="0" fontId="16" fillId="0" borderId="34" xfId="0" applyFont="1" applyFill="1" applyBorder="1" applyAlignment="1">
      <alignment horizontal="center" wrapText="1"/>
    </xf>
    <xf numFmtId="0" fontId="16" fillId="0" borderId="35" xfId="0" applyFont="1" applyFill="1" applyBorder="1" applyAlignment="1">
      <alignment horizontal="center" vertical="center" wrapText="1"/>
    </xf>
    <xf numFmtId="0" fontId="16" fillId="0" borderId="36" xfId="0" applyFont="1" applyFill="1" applyBorder="1" applyAlignment="1">
      <alignment horizontal="center" vertical="center" wrapText="1"/>
    </xf>
    <xf numFmtId="49" fontId="15" fillId="0" borderId="0" xfId="0" applyNumberFormat="1" applyFont="1" applyFill="1" applyAlignment="1">
      <alignment wrapText="1"/>
    </xf>
    <xf numFmtId="0" fontId="16" fillId="0" borderId="17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4" fillId="0" borderId="14" xfId="0" applyFont="1" applyFill="1" applyBorder="1" applyAlignment="1">
      <alignment horizontal="left" wrapText="1"/>
    </xf>
    <xf numFmtId="0" fontId="15" fillId="33" borderId="11" xfId="0" applyFont="1" applyFill="1" applyBorder="1" applyAlignment="1">
      <alignment/>
    </xf>
    <xf numFmtId="0" fontId="11" fillId="33" borderId="12" xfId="0" applyFont="1" applyFill="1" applyBorder="1" applyAlignment="1">
      <alignment wrapText="1"/>
    </xf>
    <xf numFmtId="0" fontId="11" fillId="33" borderId="37" xfId="0" applyFont="1" applyFill="1" applyBorder="1" applyAlignment="1">
      <alignment horizontal="center" wrapText="1"/>
    </xf>
    <xf numFmtId="0" fontId="14" fillId="33" borderId="12" xfId="0" applyFont="1" applyFill="1" applyBorder="1" applyAlignment="1">
      <alignment wrapText="1"/>
    </xf>
    <xf numFmtId="0" fontId="14" fillId="0" borderId="16" xfId="0" applyFont="1" applyFill="1" applyBorder="1" applyAlignment="1">
      <alignment horizontal="center" vertical="center" wrapText="1"/>
    </xf>
    <xf numFmtId="0" fontId="14" fillId="0" borderId="25" xfId="0" applyFont="1" applyFill="1" applyBorder="1" applyAlignment="1">
      <alignment horizontal="center" vertical="center" wrapText="1"/>
    </xf>
    <xf numFmtId="0" fontId="24" fillId="33" borderId="16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center" vertical="center" wrapText="1"/>
    </xf>
    <xf numFmtId="49" fontId="15" fillId="0" borderId="0" xfId="0" applyNumberFormat="1" applyFont="1" applyFill="1" applyAlignment="1">
      <alignment vertical="center" wrapText="1"/>
    </xf>
    <xf numFmtId="0" fontId="16" fillId="0" borderId="0" xfId="0" applyFont="1" applyBorder="1" applyAlignment="1">
      <alignment horizontal="center"/>
    </xf>
    <xf numFmtId="0" fontId="14" fillId="0" borderId="11" xfId="0" applyFont="1" applyFill="1" applyBorder="1" applyAlignment="1">
      <alignment horizontal="left" wrapText="1"/>
    </xf>
    <xf numFmtId="0" fontId="12" fillId="33" borderId="10" xfId="0" applyFont="1" applyFill="1" applyBorder="1" applyAlignment="1">
      <alignment wrapText="1"/>
    </xf>
    <xf numFmtId="0" fontId="28" fillId="0" borderId="33" xfId="0" applyFont="1" applyBorder="1" applyAlignment="1">
      <alignment horizontal="center"/>
    </xf>
    <xf numFmtId="0" fontId="28" fillId="0" borderId="38" xfId="0" applyFont="1" applyBorder="1" applyAlignment="1">
      <alignment horizontal="center"/>
    </xf>
    <xf numFmtId="0" fontId="28" fillId="0" borderId="18" xfId="0" applyFont="1" applyBorder="1" applyAlignment="1">
      <alignment horizontal="center"/>
    </xf>
    <xf numFmtId="0" fontId="29" fillId="0" borderId="0" xfId="0" applyFont="1" applyAlignment="1">
      <alignment/>
    </xf>
    <xf numFmtId="0" fontId="18" fillId="0" borderId="30" xfId="0" applyFont="1" applyBorder="1" applyAlignment="1">
      <alignment horizontal="center"/>
    </xf>
    <xf numFmtId="0" fontId="14" fillId="0" borderId="0" xfId="0" applyFont="1" applyAlignment="1">
      <alignment horizontal="center" vertical="top"/>
    </xf>
    <xf numFmtId="0" fontId="11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13" fillId="33" borderId="0" xfId="0" applyFont="1" applyFill="1" applyAlignment="1">
      <alignment horizontal="center"/>
    </xf>
    <xf numFmtId="0" fontId="30" fillId="33" borderId="10" xfId="0" applyFont="1" applyFill="1" applyBorder="1" applyAlignment="1">
      <alignment horizontal="left" wrapText="1"/>
    </xf>
    <xf numFmtId="0" fontId="30" fillId="33" borderId="0" xfId="0" applyFont="1" applyFill="1" applyBorder="1" applyAlignment="1">
      <alignment horizontal="centerContinuous" wrapText="1"/>
    </xf>
    <xf numFmtId="0" fontId="13" fillId="0" borderId="0" xfId="0" applyFont="1" applyBorder="1" applyAlignment="1">
      <alignment/>
    </xf>
    <xf numFmtId="0" fontId="11" fillId="33" borderId="11" xfId="0" applyFont="1" applyFill="1" applyBorder="1" applyAlignment="1">
      <alignment horizontal="center"/>
    </xf>
    <xf numFmtId="0" fontId="13" fillId="33" borderId="11" xfId="0" applyFont="1" applyFill="1" applyBorder="1" applyAlignment="1">
      <alignment horizontal="center"/>
    </xf>
    <xf numFmtId="0" fontId="13" fillId="33" borderId="11" xfId="0" applyFont="1" applyFill="1" applyBorder="1" applyAlignment="1">
      <alignment/>
    </xf>
    <xf numFmtId="0" fontId="16" fillId="33" borderId="11" xfId="0" applyFont="1" applyFill="1" applyBorder="1" applyAlignment="1">
      <alignment horizontal="center"/>
    </xf>
    <xf numFmtId="0" fontId="15" fillId="33" borderId="17" xfId="0" applyFont="1" applyFill="1" applyBorder="1" applyAlignment="1">
      <alignment horizontal="center"/>
    </xf>
    <xf numFmtId="0" fontId="14" fillId="33" borderId="11" xfId="0" applyFont="1" applyFill="1" applyBorder="1" applyAlignment="1">
      <alignment horizontal="center"/>
    </xf>
    <xf numFmtId="0" fontId="14" fillId="0" borderId="0" xfId="0" applyFont="1" applyAlignment="1">
      <alignment/>
    </xf>
    <xf numFmtId="186" fontId="11" fillId="33" borderId="11" xfId="0" applyNumberFormat="1" applyFont="1" applyFill="1" applyBorder="1" applyAlignment="1">
      <alignment horizontal="center" wrapText="1"/>
    </xf>
    <xf numFmtId="0" fontId="14" fillId="33" borderId="11" xfId="0" applyFont="1" applyFill="1" applyBorder="1" applyAlignment="1">
      <alignment/>
    </xf>
    <xf numFmtId="0" fontId="15" fillId="0" borderId="39" xfId="0" applyFont="1" applyBorder="1" applyAlignment="1">
      <alignment horizontal="center" vertical="center" wrapText="1"/>
    </xf>
    <xf numFmtId="0" fontId="11" fillId="0" borderId="17" xfId="0" applyFont="1" applyBorder="1" applyAlignment="1">
      <alignment wrapText="1"/>
    </xf>
    <xf numFmtId="0" fontId="11" fillId="0" borderId="16" xfId="0" applyFont="1" applyBorder="1" applyAlignment="1">
      <alignment wrapText="1"/>
    </xf>
    <xf numFmtId="0" fontId="11" fillId="0" borderId="27" xfId="0" applyFont="1" applyBorder="1" applyAlignment="1">
      <alignment horizontal="center"/>
    </xf>
    <xf numFmtId="0" fontId="15" fillId="0" borderId="33" xfId="0" applyFont="1" applyBorder="1" applyAlignment="1">
      <alignment horizontal="center" vertical="center" wrapText="1"/>
    </xf>
    <xf numFmtId="0" fontId="14" fillId="0" borderId="39" xfId="0" applyFont="1" applyBorder="1" applyAlignment="1">
      <alignment horizontal="center" vertical="center"/>
    </xf>
    <xf numFmtId="0" fontId="10" fillId="33" borderId="11" xfId="0" applyFont="1" applyFill="1" applyBorder="1" applyAlignment="1">
      <alignment horizontal="center" wrapText="1"/>
    </xf>
    <xf numFmtId="0" fontId="15" fillId="0" borderId="0" xfId="0" applyFont="1" applyFill="1" applyAlignment="1">
      <alignment horizontal="center"/>
    </xf>
    <xf numFmtId="0" fontId="15" fillId="0" borderId="0" xfId="0" applyFont="1" applyFill="1" applyAlignment="1">
      <alignment/>
    </xf>
    <xf numFmtId="0" fontId="32" fillId="33" borderId="0" xfId="0" applyFont="1" applyFill="1" applyBorder="1" applyAlignment="1">
      <alignment horizontal="center" wrapText="1"/>
    </xf>
    <xf numFmtId="186" fontId="11" fillId="0" borderId="11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186" fontId="14" fillId="34" borderId="11" xfId="0" applyNumberFormat="1" applyFont="1" applyFill="1" applyBorder="1" applyAlignment="1">
      <alignment horizontal="center" vertical="center" wrapText="1"/>
    </xf>
    <xf numFmtId="0" fontId="14" fillId="34" borderId="0" xfId="0" applyFont="1" applyFill="1" applyAlignment="1">
      <alignment horizontal="center" vertical="center"/>
    </xf>
    <xf numFmtId="0" fontId="11" fillId="33" borderId="0" xfId="0" applyFont="1" applyFill="1" applyAlignment="1">
      <alignment horizontal="center" vertical="center"/>
    </xf>
    <xf numFmtId="0" fontId="11" fillId="33" borderId="11" xfId="0" applyFont="1" applyFill="1" applyBorder="1" applyAlignment="1">
      <alignment horizontal="center" vertical="center" wrapText="1"/>
    </xf>
    <xf numFmtId="0" fontId="14" fillId="33" borderId="0" xfId="0" applyFont="1" applyFill="1" applyAlignment="1">
      <alignment horizontal="center" vertical="center"/>
    </xf>
    <xf numFmtId="0" fontId="32" fillId="33" borderId="0" xfId="0" applyFont="1" applyFill="1" applyBorder="1" applyAlignment="1">
      <alignment horizontal="left" wrapText="1"/>
    </xf>
    <xf numFmtId="0" fontId="14" fillId="0" borderId="11" xfId="0" applyFont="1" applyFill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14" fillId="0" borderId="11" xfId="0" applyFont="1" applyBorder="1" applyAlignment="1">
      <alignment horizontal="left" vertical="center" wrapText="1"/>
    </xf>
    <xf numFmtId="0" fontId="14" fillId="34" borderId="11" xfId="0" applyFont="1" applyFill="1" applyBorder="1" applyAlignment="1">
      <alignment horizontal="left" vertical="center" wrapText="1"/>
    </xf>
    <xf numFmtId="49" fontId="14" fillId="0" borderId="17" xfId="0" applyNumberFormat="1" applyFont="1" applyFill="1" applyBorder="1" applyAlignment="1">
      <alignment horizontal="left" vertical="center" wrapText="1"/>
    </xf>
    <xf numFmtId="49" fontId="14" fillId="0" borderId="11" xfId="0" applyNumberFormat="1" applyFont="1" applyFill="1" applyBorder="1" applyAlignment="1">
      <alignment horizontal="left" vertical="center" wrapText="1"/>
    </xf>
    <xf numFmtId="0" fontId="14" fillId="33" borderId="11" xfId="0" applyFont="1" applyFill="1" applyBorder="1" applyAlignment="1">
      <alignment horizontal="left" vertical="center" wrapText="1"/>
    </xf>
    <xf numFmtId="0" fontId="11" fillId="33" borderId="11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left" vertical="center" wrapText="1"/>
    </xf>
    <xf numFmtId="0" fontId="15" fillId="33" borderId="0" xfId="0" applyFont="1" applyFill="1" applyBorder="1" applyAlignment="1">
      <alignment wrapText="1"/>
    </xf>
    <xf numFmtId="0" fontId="14" fillId="34" borderId="11" xfId="0" applyFont="1" applyFill="1" applyBorder="1" applyAlignment="1">
      <alignment wrapText="1"/>
    </xf>
    <xf numFmtId="186" fontId="11" fillId="33" borderId="11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/>
    </xf>
    <xf numFmtId="0" fontId="10" fillId="34" borderId="11" xfId="0" applyFont="1" applyFill="1" applyBorder="1" applyAlignment="1">
      <alignment horizontal="center" wrapText="1"/>
    </xf>
    <xf numFmtId="0" fontId="10" fillId="0" borderId="11" xfId="0" applyFont="1" applyFill="1" applyBorder="1" applyAlignment="1">
      <alignment horizontal="center" wrapText="1"/>
    </xf>
    <xf numFmtId="186" fontId="14" fillId="33" borderId="11" xfId="0" applyNumberFormat="1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wrapText="1"/>
    </xf>
    <xf numFmtId="0" fontId="11" fillId="33" borderId="0" xfId="0" applyFont="1" applyFill="1" applyBorder="1" applyAlignment="1">
      <alignment horizontal="center"/>
    </xf>
    <xf numFmtId="0" fontId="7" fillId="33" borderId="0" xfId="0" applyFont="1" applyFill="1" applyBorder="1" applyAlignment="1">
      <alignment wrapText="1"/>
    </xf>
    <xf numFmtId="0" fontId="18" fillId="33" borderId="0" xfId="0" applyFont="1" applyFill="1" applyAlignment="1">
      <alignment horizontal="center"/>
    </xf>
    <xf numFmtId="0" fontId="18" fillId="33" borderId="0" xfId="0" applyFont="1" applyFill="1" applyAlignment="1">
      <alignment/>
    </xf>
    <xf numFmtId="0" fontId="11" fillId="33" borderId="0" xfId="0" applyFont="1" applyFill="1" applyAlignment="1">
      <alignment horizontal="left"/>
    </xf>
    <xf numFmtId="0" fontId="13" fillId="33" borderId="0" xfId="0" applyFont="1" applyFill="1" applyAlignment="1">
      <alignment/>
    </xf>
    <xf numFmtId="0" fontId="13" fillId="33" borderId="0" xfId="0" applyFont="1" applyFill="1" applyBorder="1" applyAlignment="1">
      <alignment/>
    </xf>
    <xf numFmtId="0" fontId="11" fillId="33" borderId="10" xfId="0" applyFont="1" applyFill="1" applyBorder="1" applyAlignment="1">
      <alignment/>
    </xf>
    <xf numFmtId="0" fontId="11" fillId="33" borderId="0" xfId="0" applyFont="1" applyFill="1" applyAlignment="1">
      <alignment horizontal="center" vertical="center" wrapText="1"/>
    </xf>
    <xf numFmtId="0" fontId="11" fillId="33" borderId="0" xfId="0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Continuous" wrapText="1"/>
    </xf>
    <xf numFmtId="0" fontId="19" fillId="33" borderId="0" xfId="0" applyFont="1" applyFill="1" applyAlignment="1">
      <alignment horizontal="center"/>
    </xf>
    <xf numFmtId="0" fontId="18" fillId="33" borderId="10" xfId="0" applyFont="1" applyFill="1" applyBorder="1" applyAlignment="1">
      <alignment horizontal="center"/>
    </xf>
    <xf numFmtId="0" fontId="19" fillId="33" borderId="10" xfId="0" applyFont="1" applyFill="1" applyBorder="1" applyAlignment="1">
      <alignment horizontal="center"/>
    </xf>
    <xf numFmtId="0" fontId="18" fillId="33" borderId="10" xfId="0" applyFont="1" applyFill="1" applyBorder="1" applyAlignment="1">
      <alignment/>
    </xf>
    <xf numFmtId="0" fontId="11" fillId="33" borderId="0" xfId="0" applyFont="1" applyFill="1" applyBorder="1" applyAlignment="1">
      <alignment horizontal="left"/>
    </xf>
    <xf numFmtId="0" fontId="23" fillId="0" borderId="11" xfId="0" applyFont="1" applyBorder="1" applyAlignment="1">
      <alignment horizontal="center" wrapText="1"/>
    </xf>
    <xf numFmtId="186" fontId="11" fillId="34" borderId="11" xfId="0" applyNumberFormat="1" applyFont="1" applyFill="1" applyBorder="1" applyAlignment="1">
      <alignment horizontal="centerContinuous" wrapText="1"/>
    </xf>
    <xf numFmtId="0" fontId="11" fillId="34" borderId="11" xfId="0" applyFont="1" applyFill="1" applyBorder="1" applyAlignment="1">
      <alignment horizontal="centerContinuous" wrapText="1"/>
    </xf>
    <xf numFmtId="0" fontId="15" fillId="0" borderId="17" xfId="0" applyFont="1" applyFill="1" applyBorder="1" applyAlignment="1">
      <alignment horizontal="center" wrapText="1"/>
    </xf>
    <xf numFmtId="0" fontId="11" fillId="36" borderId="0" xfId="0" applyFont="1" applyFill="1" applyAlignment="1">
      <alignment/>
    </xf>
    <xf numFmtId="0" fontId="11" fillId="36" borderId="11" xfId="0" applyFont="1" applyFill="1" applyBorder="1" applyAlignment="1">
      <alignment horizontal="center" wrapText="1"/>
    </xf>
    <xf numFmtId="186" fontId="11" fillId="36" borderId="11" xfId="0" applyNumberFormat="1" applyFont="1" applyFill="1" applyBorder="1" applyAlignment="1">
      <alignment horizontal="center"/>
    </xf>
    <xf numFmtId="0" fontId="15" fillId="36" borderId="11" xfId="0" applyFont="1" applyFill="1" applyBorder="1" applyAlignment="1">
      <alignment horizontal="center"/>
    </xf>
    <xf numFmtId="0" fontId="11" fillId="36" borderId="11" xfId="0" applyFont="1" applyFill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31" fillId="0" borderId="11" xfId="0" applyFont="1" applyBorder="1" applyAlignment="1">
      <alignment horizontal="left" wrapText="1"/>
    </xf>
    <xf numFmtId="0" fontId="13" fillId="0" borderId="11" xfId="0" applyFont="1" applyBorder="1" applyAlignment="1">
      <alignment horizontal="center" wrapText="1"/>
    </xf>
    <xf numFmtId="0" fontId="36" fillId="0" borderId="11" xfId="0" applyFont="1" applyBorder="1" applyAlignment="1">
      <alignment horizontal="center" wrapText="1"/>
    </xf>
    <xf numFmtId="186" fontId="13" fillId="0" borderId="11" xfId="0" applyNumberFormat="1" applyFont="1" applyBorder="1" applyAlignment="1">
      <alignment horizontal="center" wrapText="1"/>
    </xf>
    <xf numFmtId="0" fontId="13" fillId="0" borderId="0" xfId="0" applyFont="1" applyAlignment="1">
      <alignment wrapText="1"/>
    </xf>
    <xf numFmtId="0" fontId="35" fillId="0" borderId="11" xfId="0" applyFont="1" applyBorder="1" applyAlignment="1">
      <alignment horizontal="center" wrapText="1"/>
    </xf>
    <xf numFmtId="0" fontId="16" fillId="36" borderId="11" xfId="0" applyFont="1" applyFill="1" applyBorder="1" applyAlignment="1">
      <alignment wrapText="1"/>
    </xf>
    <xf numFmtId="0" fontId="23" fillId="36" borderId="11" xfId="0" applyFont="1" applyFill="1" applyBorder="1" applyAlignment="1">
      <alignment horizontal="center" wrapText="1"/>
    </xf>
    <xf numFmtId="0" fontId="22" fillId="36" borderId="11" xfId="0" applyFont="1" applyFill="1" applyBorder="1" applyAlignment="1">
      <alignment horizontal="center"/>
    </xf>
    <xf numFmtId="186" fontId="11" fillId="36" borderId="11" xfId="0" applyNumberFormat="1" applyFont="1" applyFill="1" applyBorder="1" applyAlignment="1">
      <alignment horizontal="center" wrapText="1"/>
    </xf>
    <xf numFmtId="0" fontId="107" fillId="37" borderId="11" xfId="0" applyFont="1" applyFill="1" applyBorder="1" applyAlignment="1">
      <alignment horizontal="center" wrapText="1"/>
    </xf>
    <xf numFmtId="0" fontId="11" fillId="0" borderId="0" xfId="0" applyFont="1" applyBorder="1" applyAlignment="1">
      <alignment horizontal="left"/>
    </xf>
    <xf numFmtId="0" fontId="10" fillId="33" borderId="0" xfId="0" applyFont="1" applyFill="1" applyBorder="1" applyAlignment="1">
      <alignment/>
    </xf>
    <xf numFmtId="0" fontId="37" fillId="33" borderId="0" xfId="0" applyFont="1" applyFill="1" applyBorder="1" applyAlignment="1">
      <alignment horizontal="left" vertical="top" wrapText="1"/>
    </xf>
    <xf numFmtId="0" fontId="10" fillId="33" borderId="0" xfId="0" applyFont="1" applyFill="1" applyBorder="1" applyAlignment="1">
      <alignment horizontal="center"/>
    </xf>
    <xf numFmtId="0" fontId="11" fillId="33" borderId="40" xfId="0" applyFont="1" applyFill="1" applyBorder="1" applyAlignment="1">
      <alignment wrapText="1"/>
    </xf>
    <xf numFmtId="0" fontId="11" fillId="33" borderId="40" xfId="0" applyFont="1" applyFill="1" applyBorder="1" applyAlignment="1">
      <alignment/>
    </xf>
    <xf numFmtId="0" fontId="11" fillId="33" borderId="0" xfId="0" applyFont="1" applyFill="1" applyBorder="1" applyAlignment="1">
      <alignment horizontal="right" wrapText="1"/>
    </xf>
    <xf numFmtId="0" fontId="7" fillId="33" borderId="0" xfId="0" applyFont="1" applyFill="1" applyBorder="1" applyAlignment="1">
      <alignment/>
    </xf>
    <xf numFmtId="0" fontId="16" fillId="33" borderId="0" xfId="0" applyFont="1" applyFill="1" applyAlignment="1">
      <alignment/>
    </xf>
    <xf numFmtId="0" fontId="10" fillId="38" borderId="0" xfId="0" applyFont="1" applyFill="1" applyBorder="1" applyAlignment="1">
      <alignment/>
    </xf>
    <xf numFmtId="0" fontId="12" fillId="33" borderId="10" xfId="0" applyFont="1" applyFill="1" applyBorder="1" applyAlignment="1">
      <alignment horizontal="left"/>
    </xf>
    <xf numFmtId="0" fontId="11" fillId="33" borderId="10" xfId="0" applyFont="1" applyFill="1" applyBorder="1" applyAlignment="1">
      <alignment horizontal="center"/>
    </xf>
    <xf numFmtId="0" fontId="12" fillId="33" borderId="0" xfId="0" applyFont="1" applyFill="1" applyBorder="1" applyAlignment="1">
      <alignment horizontal="center"/>
    </xf>
    <xf numFmtId="0" fontId="11" fillId="33" borderId="0" xfId="0" applyFont="1" applyFill="1" applyAlignment="1">
      <alignment/>
    </xf>
    <xf numFmtId="0" fontId="12" fillId="33" borderId="41" xfId="0" applyFont="1" applyFill="1" applyBorder="1" applyAlignment="1">
      <alignment/>
    </xf>
    <xf numFmtId="0" fontId="11" fillId="33" borderId="0" xfId="0" applyFont="1" applyFill="1" applyBorder="1" applyAlignment="1">
      <alignment/>
    </xf>
    <xf numFmtId="0" fontId="14" fillId="33" borderId="42" xfId="0" applyFont="1" applyFill="1" applyBorder="1" applyAlignment="1">
      <alignment horizontal="centerContinuous"/>
    </xf>
    <xf numFmtId="0" fontId="14" fillId="33" borderId="43" xfId="0" applyFont="1" applyFill="1" applyBorder="1" applyAlignment="1">
      <alignment horizontal="centerContinuous"/>
    </xf>
    <xf numFmtId="0" fontId="14" fillId="33" borderId="0" xfId="0" applyFont="1" applyFill="1" applyAlignment="1">
      <alignment horizontal="centerContinuous" wrapText="1"/>
    </xf>
    <xf numFmtId="0" fontId="14" fillId="33" borderId="0" xfId="0" applyFont="1" applyFill="1" applyAlignment="1">
      <alignment horizontal="centerContinuous" vertical="center"/>
    </xf>
    <xf numFmtId="1" fontId="108" fillId="0" borderId="11" xfId="0" applyNumberFormat="1" applyFont="1" applyBorder="1" applyAlignment="1">
      <alignment horizontal="center"/>
    </xf>
    <xf numFmtId="2" fontId="13" fillId="33" borderId="0" xfId="0" applyNumberFormat="1" applyFont="1" applyFill="1" applyAlignment="1">
      <alignment horizontal="centerContinuous" wrapText="1"/>
    </xf>
    <xf numFmtId="186" fontId="109" fillId="0" borderId="11" xfId="0" applyNumberFormat="1" applyFont="1" applyBorder="1" applyAlignment="1">
      <alignment horizontal="center"/>
    </xf>
    <xf numFmtId="0" fontId="110" fillId="0" borderId="11" xfId="0" applyFont="1" applyBorder="1" applyAlignment="1">
      <alignment horizontal="center"/>
    </xf>
    <xf numFmtId="186" fontId="110" fillId="0" borderId="11" xfId="0" applyNumberFormat="1" applyFont="1" applyBorder="1" applyAlignment="1">
      <alignment horizontal="center"/>
    </xf>
    <xf numFmtId="2" fontId="107" fillId="0" borderId="11" xfId="0" applyNumberFormat="1" applyFont="1" applyBorder="1" applyAlignment="1">
      <alignment horizontal="center"/>
    </xf>
    <xf numFmtId="0" fontId="27" fillId="0" borderId="23" xfId="0" applyFont="1" applyBorder="1" applyAlignment="1">
      <alignment horizontal="center" vertical="center" wrapText="1"/>
    </xf>
    <xf numFmtId="0" fontId="41" fillId="0" borderId="11" xfId="138" applyFont="1" applyBorder="1" applyAlignment="1">
      <alignment horizontal="center" wrapText="1"/>
      <protection/>
    </xf>
    <xf numFmtId="0" fontId="11" fillId="33" borderId="44" xfId="0" applyFont="1" applyFill="1" applyBorder="1" applyAlignment="1">
      <alignment wrapText="1"/>
    </xf>
    <xf numFmtId="0" fontId="14" fillId="4" borderId="11" xfId="0" applyFont="1" applyFill="1" applyBorder="1" applyAlignment="1">
      <alignment horizontal="left" vertical="center" wrapText="1"/>
    </xf>
    <xf numFmtId="186" fontId="11" fillId="4" borderId="11" xfId="0" applyNumberFormat="1" applyFont="1" applyFill="1" applyBorder="1" applyAlignment="1">
      <alignment horizontal="center" vertical="center" wrapText="1"/>
    </xf>
    <xf numFmtId="0" fontId="35" fillId="0" borderId="11" xfId="0" applyFont="1" applyBorder="1" applyAlignment="1">
      <alignment horizontal="left" vertical="center" wrapText="1"/>
    </xf>
    <xf numFmtId="0" fontId="42" fillId="34" borderId="11" xfId="0" applyFont="1" applyFill="1" applyBorder="1" applyAlignment="1">
      <alignment wrapText="1"/>
    </xf>
    <xf numFmtId="0" fontId="14" fillId="33" borderId="38" xfId="0" applyFont="1" applyFill="1" applyBorder="1" applyAlignment="1">
      <alignment horizontal="centerContinuous" vertical="center"/>
    </xf>
    <xf numFmtId="0" fontId="27" fillId="0" borderId="45" xfId="0" applyFont="1" applyBorder="1" applyAlignment="1">
      <alignment horizontal="center" vertical="center" wrapText="1"/>
    </xf>
    <xf numFmtId="0" fontId="29" fillId="10" borderId="11" xfId="0" applyFont="1" applyFill="1" applyBorder="1" applyAlignment="1">
      <alignment horizontal="center"/>
    </xf>
    <xf numFmtId="0" fontId="29" fillId="10" borderId="11" xfId="0" applyFont="1" applyFill="1" applyBorder="1" applyAlignment="1">
      <alignment horizontal="center" wrapText="1"/>
    </xf>
    <xf numFmtId="186" fontId="29" fillId="10" borderId="11" xfId="0" applyNumberFormat="1" applyFont="1" applyFill="1" applyBorder="1" applyAlignment="1">
      <alignment horizontal="center"/>
    </xf>
    <xf numFmtId="0" fontId="15" fillId="0" borderId="11" xfId="0" applyFont="1" applyBorder="1" applyAlignment="1">
      <alignment horizontal="center" vertical="top" wrapText="1"/>
    </xf>
    <xf numFmtId="0" fontId="12" fillId="33" borderId="41" xfId="0" applyFont="1" applyFill="1" applyBorder="1" applyAlignment="1">
      <alignment wrapText="1"/>
    </xf>
    <xf numFmtId="0" fontId="18" fillId="33" borderId="0" xfId="0" applyFont="1" applyFill="1" applyBorder="1" applyAlignment="1">
      <alignment horizontal="centerContinuous" vertical="center" wrapText="1"/>
    </xf>
    <xf numFmtId="0" fontId="11" fillId="0" borderId="18" xfId="0" applyFont="1" applyBorder="1" applyAlignment="1">
      <alignment horizontal="center" wrapText="1"/>
    </xf>
    <xf numFmtId="0" fontId="11" fillId="0" borderId="43" xfId="0" applyFont="1" applyBorder="1" applyAlignment="1">
      <alignment horizontal="centerContinuous" wrapText="1"/>
    </xf>
    <xf numFmtId="0" fontId="11" fillId="0" borderId="18" xfId="0" applyFont="1" applyBorder="1" applyAlignment="1">
      <alignment horizontal="centerContinuous" wrapText="1"/>
    </xf>
    <xf numFmtId="0" fontId="27" fillId="0" borderId="18" xfId="0" applyFont="1" applyBorder="1" applyAlignment="1">
      <alignment horizontal="center"/>
    </xf>
    <xf numFmtId="0" fontId="16" fillId="0" borderId="10" xfId="0" applyFont="1" applyBorder="1" applyAlignment="1">
      <alignment horizontal="center" wrapText="1"/>
    </xf>
    <xf numFmtId="0" fontId="12" fillId="33" borderId="41" xfId="0" applyFont="1" applyFill="1" applyBorder="1" applyAlignment="1">
      <alignment horizontal="centerContinuous" wrapText="1"/>
    </xf>
    <xf numFmtId="0" fontId="43" fillId="33" borderId="0" xfId="0" applyFont="1" applyFill="1" applyBorder="1" applyAlignment="1">
      <alignment horizontal="centerContinuous" vertical="center" wrapText="1"/>
    </xf>
    <xf numFmtId="0" fontId="11" fillId="10" borderId="11" xfId="0" applyFont="1" applyFill="1" applyBorder="1" applyAlignment="1">
      <alignment horizontal="center"/>
    </xf>
    <xf numFmtId="0" fontId="11" fillId="10" borderId="11" xfId="0" applyFont="1" applyFill="1" applyBorder="1" applyAlignment="1">
      <alignment horizontal="center" wrapText="1"/>
    </xf>
    <xf numFmtId="0" fontId="31" fillId="10" borderId="11" xfId="0" applyFont="1" applyFill="1" applyBorder="1" applyAlignment="1">
      <alignment horizontal="left" wrapText="1"/>
    </xf>
    <xf numFmtId="0" fontId="25" fillId="10" borderId="11" xfId="0" applyFont="1" applyFill="1" applyBorder="1" applyAlignment="1">
      <alignment horizontal="center" wrapText="1"/>
    </xf>
    <xf numFmtId="0" fontId="18" fillId="0" borderId="15" xfId="0" applyFont="1" applyBorder="1" applyAlignment="1">
      <alignment horizontal="center"/>
    </xf>
    <xf numFmtId="0" fontId="13" fillId="33" borderId="0" xfId="0" applyFont="1" applyFill="1" applyBorder="1" applyAlignment="1">
      <alignment horizontal="centerContinuous" vertical="center" wrapText="1"/>
    </xf>
    <xf numFmtId="0" fontId="15" fillId="0" borderId="10" xfId="0" applyFont="1" applyBorder="1" applyAlignment="1">
      <alignment horizontal="center"/>
    </xf>
    <xf numFmtId="0" fontId="26" fillId="10" borderId="11" xfId="0" applyFont="1" applyFill="1" applyBorder="1" applyAlignment="1">
      <alignment horizontal="center"/>
    </xf>
    <xf numFmtId="0" fontId="20" fillId="0" borderId="11" xfId="0" applyFont="1" applyBorder="1" applyAlignment="1">
      <alignment horizontal="left" wrapText="1"/>
    </xf>
    <xf numFmtId="0" fontId="11" fillId="0" borderId="11" xfId="0" applyFont="1" applyBorder="1" applyAlignment="1">
      <alignment horizontal="left"/>
    </xf>
    <xf numFmtId="9" fontId="16" fillId="0" borderId="11" xfId="0" applyNumberFormat="1" applyFont="1" applyBorder="1" applyAlignment="1">
      <alignment horizontal="center"/>
    </xf>
    <xf numFmtId="0" fontId="111" fillId="0" borderId="11" xfId="0" applyFont="1" applyFill="1" applyBorder="1" applyAlignment="1">
      <alignment horizontal="center" vertical="center" wrapText="1"/>
    </xf>
    <xf numFmtId="0" fontId="111" fillId="0" borderId="11" xfId="0" applyFont="1" applyFill="1" applyBorder="1" applyAlignment="1">
      <alignment horizontal="left" vertical="top" wrapText="1"/>
    </xf>
    <xf numFmtId="0" fontId="112" fillId="0" borderId="11" xfId="0" applyFont="1" applyFill="1" applyBorder="1" applyAlignment="1">
      <alignment horizontal="center" vertical="top" wrapText="1"/>
    </xf>
    <xf numFmtId="186" fontId="25" fillId="0" borderId="11" xfId="118" applyNumberFormat="1" applyFont="1" applyFill="1" applyBorder="1" applyAlignment="1">
      <alignment horizontal="center" wrapText="1"/>
      <protection/>
    </xf>
    <xf numFmtId="186" fontId="113" fillId="0" borderId="11" xfId="118" applyNumberFormat="1" applyFont="1" applyFill="1" applyBorder="1" applyAlignment="1">
      <alignment horizontal="center" wrapText="1"/>
      <protection/>
    </xf>
    <xf numFmtId="186" fontId="11" fillId="33" borderId="44" xfId="0" applyNumberFormat="1" applyFont="1" applyFill="1" applyBorder="1" applyAlignment="1">
      <alignment wrapText="1"/>
    </xf>
    <xf numFmtId="0" fontId="15" fillId="33" borderId="0" xfId="0" applyFont="1" applyFill="1" applyBorder="1" applyAlignment="1">
      <alignment horizontal="left" vertical="center" wrapText="1"/>
    </xf>
    <xf numFmtId="0" fontId="11" fillId="33" borderId="0" xfId="0" applyFont="1" applyFill="1" applyBorder="1" applyAlignment="1">
      <alignment horizontal="left" vertical="center" wrapText="1"/>
    </xf>
    <xf numFmtId="0" fontId="11" fillId="33" borderId="0" xfId="0" applyFont="1" applyFill="1" applyAlignment="1">
      <alignment horizontal="left" vertical="center"/>
    </xf>
    <xf numFmtId="0" fontId="114" fillId="0" borderId="11" xfId="0" applyFont="1" applyFill="1" applyBorder="1" applyAlignment="1">
      <alignment horizontal="left" vertical="center" wrapText="1"/>
    </xf>
    <xf numFmtId="0" fontId="115" fillId="0" borderId="11" xfId="0" applyFont="1" applyFill="1" applyBorder="1" applyAlignment="1">
      <alignment horizontal="left" vertical="center"/>
    </xf>
    <xf numFmtId="0" fontId="111" fillId="0" borderId="11" xfId="0" applyFont="1" applyFill="1" applyBorder="1" applyAlignment="1">
      <alignment horizontal="center" vertical="center" wrapText="1"/>
    </xf>
    <xf numFmtId="0" fontId="113" fillId="0" borderId="0" xfId="0" applyFont="1" applyFill="1" applyAlignment="1">
      <alignment horizontal="left" vertical="center" wrapText="1"/>
    </xf>
    <xf numFmtId="0" fontId="111" fillId="0" borderId="17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0" fillId="34" borderId="15" xfId="138" applyFont="1" applyFill="1" applyBorder="1" applyAlignment="1">
      <alignment horizontal="center" vertical="center" wrapText="1"/>
      <protection/>
    </xf>
    <xf numFmtId="0" fontId="15" fillId="0" borderId="15" xfId="138" applyFont="1" applyFill="1" applyBorder="1" applyAlignment="1">
      <alignment horizontal="center" vertical="center" wrapText="1"/>
      <protection/>
    </xf>
    <xf numFmtId="0" fontId="10" fillId="34" borderId="15" xfId="0" applyFont="1" applyFill="1" applyBorder="1" applyAlignment="1">
      <alignment horizontal="center" vertical="center" wrapText="1"/>
    </xf>
    <xf numFmtId="0" fontId="15" fillId="4" borderId="15" xfId="0" applyFont="1" applyFill="1" applyBorder="1" applyAlignment="1">
      <alignment horizontal="center" vertical="center" wrapText="1"/>
    </xf>
    <xf numFmtId="49" fontId="33" fillId="0" borderId="46" xfId="0" applyNumberFormat="1" applyFont="1" applyFill="1" applyBorder="1" applyAlignment="1">
      <alignment horizontal="center" vertical="center" wrapText="1"/>
    </xf>
    <xf numFmtId="49" fontId="33" fillId="4" borderId="46" xfId="0" applyNumberFormat="1" applyFont="1" applyFill="1" applyBorder="1" applyAlignment="1">
      <alignment horizontal="center" vertical="center" wrapText="1"/>
    </xf>
    <xf numFmtId="0" fontId="112" fillId="0" borderId="12" xfId="0" applyFont="1" applyFill="1" applyBorder="1" applyAlignment="1">
      <alignment horizontal="center" vertical="top" wrapText="1"/>
    </xf>
    <xf numFmtId="0" fontId="11" fillId="0" borderId="39" xfId="0" applyFont="1" applyFill="1" applyBorder="1" applyAlignment="1">
      <alignment/>
    </xf>
    <xf numFmtId="0" fontId="11" fillId="0" borderId="46" xfId="0" applyFont="1" applyFill="1" applyBorder="1" applyAlignment="1">
      <alignment/>
    </xf>
    <xf numFmtId="0" fontId="11" fillId="0" borderId="16" xfId="0" applyFont="1" applyFill="1" applyBorder="1" applyAlignment="1">
      <alignment/>
    </xf>
    <xf numFmtId="0" fontId="11" fillId="0" borderId="17" xfId="0" applyFont="1" applyFill="1" applyBorder="1" applyAlignment="1">
      <alignment/>
    </xf>
    <xf numFmtId="0" fontId="11" fillId="0" borderId="12" xfId="0" applyFont="1" applyFill="1" applyBorder="1" applyAlignment="1">
      <alignment/>
    </xf>
    <xf numFmtId="0" fontId="14" fillId="33" borderId="17" xfId="0" applyFont="1" applyFill="1" applyBorder="1" applyAlignment="1">
      <alignment/>
    </xf>
    <xf numFmtId="0" fontId="12" fillId="33" borderId="0" xfId="0" applyFont="1" applyFill="1" applyBorder="1" applyAlignment="1">
      <alignment wrapText="1"/>
    </xf>
    <xf numFmtId="0" fontId="27" fillId="0" borderId="18" xfId="0" applyFont="1" applyBorder="1" applyAlignment="1">
      <alignment horizontal="center" vertical="center" wrapText="1"/>
    </xf>
    <xf numFmtId="0" fontId="102" fillId="0" borderId="0" xfId="96">
      <alignment/>
      <protection/>
    </xf>
    <xf numFmtId="0" fontId="45" fillId="0" borderId="0" xfId="96" applyFont="1" applyAlignment="1">
      <alignment vertical="center"/>
      <protection/>
    </xf>
    <xf numFmtId="0" fontId="13" fillId="0" borderId="0" xfId="96" applyFont="1">
      <alignment/>
      <protection/>
    </xf>
    <xf numFmtId="0" fontId="16" fillId="0" borderId="0" xfId="96" applyFont="1" applyBorder="1" applyAlignment="1">
      <alignment horizontal="center" vertical="center" wrapText="1"/>
      <protection/>
    </xf>
    <xf numFmtId="0" fontId="13" fillId="0" borderId="0" xfId="96" applyFont="1" applyBorder="1">
      <alignment/>
      <protection/>
    </xf>
    <xf numFmtId="0" fontId="116" fillId="0" borderId="11" xfId="96" applyFont="1" applyBorder="1">
      <alignment/>
      <protection/>
    </xf>
    <xf numFmtId="0" fontId="116" fillId="0" borderId="47" xfId="96" applyFont="1" applyBorder="1">
      <alignment/>
      <protection/>
    </xf>
    <xf numFmtId="0" fontId="116" fillId="38" borderId="11" xfId="96" applyFont="1" applyFill="1" applyBorder="1">
      <alignment/>
      <protection/>
    </xf>
    <xf numFmtId="0" fontId="116" fillId="38" borderId="47" xfId="96" applyFont="1" applyFill="1" applyBorder="1">
      <alignment/>
      <protection/>
    </xf>
    <xf numFmtId="0" fontId="116" fillId="0" borderId="48" xfId="96" applyFont="1" applyBorder="1">
      <alignment/>
      <protection/>
    </xf>
    <xf numFmtId="0" fontId="116" fillId="0" borderId="49" xfId="96" applyFont="1" applyBorder="1">
      <alignment/>
      <protection/>
    </xf>
    <xf numFmtId="0" fontId="16" fillId="33" borderId="0" xfId="0" applyFont="1" applyFill="1" applyBorder="1" applyAlignment="1">
      <alignment horizontal="center" wrapText="1"/>
    </xf>
    <xf numFmtId="0" fontId="11" fillId="0" borderId="41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5" fillId="37" borderId="0" xfId="0" applyFont="1" applyFill="1" applyBorder="1" applyAlignment="1">
      <alignment horizontal="center"/>
    </xf>
    <xf numFmtId="0" fontId="16" fillId="0" borderId="0" xfId="0" applyFont="1" applyBorder="1" applyAlignment="1">
      <alignment/>
    </xf>
    <xf numFmtId="0" fontId="113" fillId="0" borderId="0" xfId="0" applyFont="1" applyFill="1" applyAlignment="1">
      <alignment horizontal="left" vertical="center" wrapText="1"/>
    </xf>
    <xf numFmtId="0" fontId="117" fillId="0" borderId="0" xfId="96" applyFont="1" applyAlignment="1">
      <alignment horizontal="center" vertical="center" wrapText="1"/>
      <protection/>
    </xf>
    <xf numFmtId="0" fontId="47" fillId="0" borderId="0" xfId="0" applyFont="1" applyAlignment="1">
      <alignment/>
    </xf>
    <xf numFmtId="0" fontId="0" fillId="0" borderId="0" xfId="0" applyFont="1" applyAlignment="1">
      <alignment/>
    </xf>
    <xf numFmtId="0" fontId="118" fillId="0" borderId="0" xfId="96" applyFont="1">
      <alignment/>
      <protection/>
    </xf>
    <xf numFmtId="0" fontId="16" fillId="0" borderId="0" xfId="96" applyFont="1" applyAlignment="1">
      <alignment horizontal="center"/>
      <protection/>
    </xf>
    <xf numFmtId="0" fontId="16" fillId="0" borderId="0" xfId="96" applyFont="1" applyBorder="1" applyAlignment="1">
      <alignment horizontal="center"/>
      <protection/>
    </xf>
    <xf numFmtId="0" fontId="119" fillId="7" borderId="30" xfId="96" applyFont="1" applyFill="1" applyBorder="1" applyAlignment="1">
      <alignment horizontal="center" vertical="center" wrapText="1"/>
      <protection/>
    </xf>
    <xf numFmtId="0" fontId="118" fillId="0" borderId="30" xfId="96" applyFont="1" applyBorder="1" applyAlignment="1">
      <alignment horizontal="center"/>
      <protection/>
    </xf>
    <xf numFmtId="0" fontId="118" fillId="38" borderId="30" xfId="96" applyFont="1" applyFill="1" applyBorder="1" applyAlignment="1">
      <alignment horizontal="center"/>
      <protection/>
    </xf>
    <xf numFmtId="0" fontId="47" fillId="0" borderId="30" xfId="0" applyFont="1" applyBorder="1" applyAlignment="1">
      <alignment horizontal="center"/>
    </xf>
    <xf numFmtId="0" fontId="118" fillId="0" borderId="50" xfId="96" applyFont="1" applyBorder="1" applyAlignment="1">
      <alignment horizontal="center"/>
      <protection/>
    </xf>
    <xf numFmtId="0" fontId="116" fillId="0" borderId="30" xfId="96" applyFont="1" applyBorder="1">
      <alignment/>
      <protection/>
    </xf>
    <xf numFmtId="0" fontId="116" fillId="38" borderId="30" xfId="96" applyFont="1" applyFill="1" applyBorder="1">
      <alignment/>
      <protection/>
    </xf>
    <xf numFmtId="0" fontId="116" fillId="0" borderId="50" xfId="96" applyFont="1" applyBorder="1">
      <alignment/>
      <protection/>
    </xf>
    <xf numFmtId="0" fontId="120" fillId="0" borderId="16" xfId="96" applyFont="1" applyBorder="1" applyAlignment="1">
      <alignment horizontal="center" vertical="center" wrapText="1"/>
      <protection/>
    </xf>
    <xf numFmtId="0" fontId="120" fillId="0" borderId="25" xfId="96" applyFont="1" applyBorder="1" applyAlignment="1">
      <alignment horizontal="center" vertical="center" wrapText="1"/>
      <protection/>
    </xf>
    <xf numFmtId="0" fontId="120" fillId="0" borderId="24" xfId="96" applyFont="1" applyBorder="1" applyAlignment="1">
      <alignment horizontal="center" vertical="center" wrapText="1"/>
      <protection/>
    </xf>
    <xf numFmtId="0" fontId="120" fillId="0" borderId="26" xfId="96" applyFont="1" applyBorder="1" applyAlignment="1">
      <alignment horizontal="center" vertical="center" wrapText="1"/>
      <protection/>
    </xf>
    <xf numFmtId="0" fontId="121" fillId="7" borderId="13" xfId="96" applyFont="1" applyFill="1" applyBorder="1" applyAlignment="1">
      <alignment horizontal="left" vertical="center" wrapText="1"/>
      <protection/>
    </xf>
    <xf numFmtId="0" fontId="116" fillId="0" borderId="13" xfId="96" applyFont="1" applyBorder="1" applyAlignment="1">
      <alignment vertical="center" wrapText="1"/>
      <protection/>
    </xf>
    <xf numFmtId="0" fontId="122" fillId="7" borderId="13" xfId="96" applyFont="1" applyFill="1" applyBorder="1" applyAlignment="1">
      <alignment horizontal="left" vertical="center" wrapText="1"/>
      <protection/>
    </xf>
    <xf numFmtId="0" fontId="123" fillId="38" borderId="13" xfId="96" applyFont="1" applyFill="1" applyBorder="1" applyAlignment="1">
      <alignment horizontal="center" vertical="center" wrapText="1"/>
      <protection/>
    </xf>
    <xf numFmtId="0" fontId="116" fillId="0" borderId="13" xfId="96" applyFont="1" applyBorder="1" applyAlignment="1">
      <alignment horizontal="left" vertical="center" wrapText="1"/>
      <protection/>
    </xf>
    <xf numFmtId="0" fontId="0" fillId="0" borderId="13" xfId="0" applyFont="1" applyBorder="1" applyAlignment="1">
      <alignment horizontal="left" vertical="center" wrapText="1"/>
    </xf>
    <xf numFmtId="0" fontId="102" fillId="0" borderId="13" xfId="96" applyFont="1" applyBorder="1" applyAlignment="1">
      <alignment horizontal="left" vertical="center" wrapText="1"/>
      <protection/>
    </xf>
    <xf numFmtId="0" fontId="102" fillId="0" borderId="51" xfId="96" applyFont="1" applyBorder="1" applyAlignment="1">
      <alignment horizontal="left" vertical="center" wrapText="1"/>
      <protection/>
    </xf>
    <xf numFmtId="0" fontId="14" fillId="33" borderId="0" xfId="0" applyFont="1" applyFill="1" applyBorder="1" applyAlignment="1">
      <alignment/>
    </xf>
    <xf numFmtId="0" fontId="12" fillId="33" borderId="40" xfId="0" applyFont="1" applyFill="1" applyBorder="1" applyAlignment="1">
      <alignment horizontal="centerContinuous" wrapText="1"/>
    </xf>
    <xf numFmtId="0" fontId="11" fillId="33" borderId="11" xfId="0" applyFont="1" applyFill="1" applyBorder="1" applyAlignment="1">
      <alignment horizontal="left" indent="2"/>
    </xf>
    <xf numFmtId="0" fontId="11" fillId="12" borderId="11" xfId="0" applyFont="1" applyFill="1" applyBorder="1" applyAlignment="1">
      <alignment horizontal="center"/>
    </xf>
    <xf numFmtId="0" fontId="11" fillId="12" borderId="11" xfId="0" applyFont="1" applyFill="1" applyBorder="1" applyAlignment="1">
      <alignment horizontal="left" indent="2"/>
    </xf>
    <xf numFmtId="0" fontId="124" fillId="0" borderId="0" xfId="0" applyFont="1" applyAlignment="1">
      <alignment horizontal="justify" vertical="center"/>
    </xf>
    <xf numFmtId="0" fontId="124" fillId="0" borderId="0" xfId="0" applyFont="1" applyAlignment="1">
      <alignment/>
    </xf>
    <xf numFmtId="0" fontId="11" fillId="38" borderId="11" xfId="0" applyFont="1" applyFill="1" applyBorder="1" applyAlignment="1">
      <alignment horizontal="center"/>
    </xf>
    <xf numFmtId="0" fontId="125" fillId="33" borderId="11" xfId="0" applyFont="1" applyFill="1" applyBorder="1" applyAlignment="1">
      <alignment/>
    </xf>
    <xf numFmtId="0" fontId="107" fillId="33" borderId="11" xfId="0" applyFont="1" applyFill="1" applyBorder="1" applyAlignment="1">
      <alignment/>
    </xf>
    <xf numFmtId="0" fontId="14" fillId="33" borderId="11" xfId="0" applyFont="1" applyFill="1" applyBorder="1" applyAlignment="1">
      <alignment vertical="center" wrapText="1"/>
    </xf>
    <xf numFmtId="0" fontId="111" fillId="0" borderId="15" xfId="0" applyFont="1" applyFill="1" applyBorder="1" applyAlignment="1">
      <alignment horizontal="center" vertical="center" wrapText="1"/>
    </xf>
    <xf numFmtId="0" fontId="126" fillId="0" borderId="12" xfId="0" applyFont="1" applyFill="1" applyBorder="1" applyAlignment="1">
      <alignment horizontal="left" vertical="top" wrapText="1"/>
    </xf>
    <xf numFmtId="49" fontId="48" fillId="0" borderId="13" xfId="0" applyNumberFormat="1" applyFont="1" applyBorder="1" applyAlignment="1">
      <alignment vertical="center" wrapText="1"/>
    </xf>
    <xf numFmtId="0" fontId="26" fillId="10" borderId="11" xfId="0" applyFont="1" applyFill="1" applyBorder="1" applyAlignment="1">
      <alignment horizontal="center" wrapText="1"/>
    </xf>
    <xf numFmtId="0" fontId="107" fillId="0" borderId="11" xfId="0" applyFont="1" applyBorder="1" applyAlignment="1">
      <alignment horizontal="center"/>
    </xf>
    <xf numFmtId="0" fontId="110" fillId="0" borderId="11" xfId="0" applyFont="1" applyBorder="1" applyAlignment="1">
      <alignment wrapText="1"/>
    </xf>
    <xf numFmtId="0" fontId="107" fillId="0" borderId="11" xfId="0" applyFont="1" applyBorder="1" applyAlignment="1">
      <alignment horizontal="center" wrapText="1"/>
    </xf>
    <xf numFmtId="186" fontId="107" fillId="34" borderId="11" xfId="0" applyNumberFormat="1" applyFont="1" applyFill="1" applyBorder="1" applyAlignment="1">
      <alignment horizontal="centerContinuous" wrapText="1"/>
    </xf>
    <xf numFmtId="186" fontId="107" fillId="0" borderId="11" xfId="0" applyNumberFormat="1" applyFont="1" applyBorder="1" applyAlignment="1">
      <alignment horizontal="centerContinuous" wrapText="1"/>
    </xf>
    <xf numFmtId="0" fontId="127" fillId="0" borderId="11" xfId="0" applyFont="1" applyBorder="1" applyAlignment="1">
      <alignment horizontal="center"/>
    </xf>
    <xf numFmtId="186" fontId="107" fillId="0" borderId="11" xfId="0" applyNumberFormat="1" applyFont="1" applyBorder="1" applyAlignment="1">
      <alignment horizontal="center"/>
    </xf>
    <xf numFmtId="0" fontId="107" fillId="0" borderId="0" xfId="0" applyFont="1" applyAlignment="1">
      <alignment/>
    </xf>
    <xf numFmtId="1" fontId="107" fillId="0" borderId="11" xfId="0" applyNumberFormat="1" applyFont="1" applyBorder="1" applyAlignment="1">
      <alignment horizontal="center" wrapText="1"/>
    </xf>
    <xf numFmtId="0" fontId="11" fillId="33" borderId="11" xfId="99" applyFont="1" applyFill="1" applyBorder="1" applyAlignment="1">
      <alignment wrapText="1"/>
      <protection/>
    </xf>
    <xf numFmtId="0" fontId="11" fillId="33" borderId="11" xfId="99" applyFont="1" applyFill="1" applyBorder="1">
      <alignment/>
      <protection/>
    </xf>
    <xf numFmtId="0" fontId="30" fillId="33" borderId="10" xfId="0" applyFont="1" applyFill="1" applyBorder="1" applyAlignment="1">
      <alignment horizontal="left"/>
    </xf>
    <xf numFmtId="49" fontId="11" fillId="0" borderId="11" xfId="0" applyNumberFormat="1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wrapText="1"/>
    </xf>
    <xf numFmtId="0" fontId="11" fillId="0" borderId="11" xfId="0" applyFont="1" applyBorder="1" applyAlignment="1">
      <alignment horizontal="left" vertical="top" wrapText="1"/>
    </xf>
    <xf numFmtId="0" fontId="11" fillId="38" borderId="11" xfId="0" applyFont="1" applyFill="1" applyBorder="1" applyAlignment="1">
      <alignment horizontal="left" vertical="top" wrapText="1"/>
    </xf>
    <xf numFmtId="0" fontId="11" fillId="38" borderId="11" xfId="0" applyFont="1" applyFill="1" applyBorder="1" applyAlignment="1">
      <alignment horizontal="left" wrapText="1"/>
    </xf>
    <xf numFmtId="0" fontId="11" fillId="0" borderId="11" xfId="0" applyFont="1" applyFill="1" applyBorder="1" applyAlignment="1">
      <alignment horizontal="left"/>
    </xf>
    <xf numFmtId="0" fontId="11" fillId="0" borderId="17" xfId="0" applyFont="1" applyBorder="1" applyAlignment="1">
      <alignment horizontal="left" wrapText="1"/>
    </xf>
    <xf numFmtId="49" fontId="11" fillId="0" borderId="11" xfId="0" applyNumberFormat="1" applyFont="1" applyFill="1" applyBorder="1" applyAlignment="1">
      <alignment horizontal="left" vertical="center" wrapText="1"/>
    </xf>
    <xf numFmtId="0" fontId="15" fillId="6" borderId="17" xfId="0" applyFont="1" applyFill="1" applyBorder="1" applyAlignment="1">
      <alignment horizontal="center" wrapText="1"/>
    </xf>
    <xf numFmtId="0" fontId="10" fillId="6" borderId="17" xfId="0" applyFont="1" applyFill="1" applyBorder="1" applyAlignment="1">
      <alignment horizontal="center" wrapText="1"/>
    </xf>
    <xf numFmtId="0" fontId="111" fillId="38" borderId="0" xfId="0" applyFont="1" applyFill="1" applyAlignment="1">
      <alignment horizontal="center"/>
    </xf>
    <xf numFmtId="0" fontId="126" fillId="38" borderId="0" xfId="0" applyFont="1" applyFill="1" applyAlignment="1">
      <alignment/>
    </xf>
    <xf numFmtId="0" fontId="111" fillId="38" borderId="0" xfId="0" applyFont="1" applyFill="1" applyAlignment="1">
      <alignment/>
    </xf>
    <xf numFmtId="0" fontId="111" fillId="38" borderId="0" xfId="0" applyFont="1" applyFill="1" applyAlignment="1">
      <alignment horizontal="centerContinuous"/>
    </xf>
    <xf numFmtId="0" fontId="128" fillId="38" borderId="0" xfId="0" applyFont="1" applyFill="1" applyBorder="1" applyAlignment="1">
      <alignment horizontal="centerContinuous" wrapText="1"/>
    </xf>
    <xf numFmtId="0" fontId="111" fillId="38" borderId="10" xfId="0" applyFont="1" applyFill="1" applyBorder="1" applyAlignment="1">
      <alignment horizontal="centerContinuous" wrapText="1"/>
    </xf>
    <xf numFmtId="0" fontId="129" fillId="38" borderId="10" xfId="0" applyFont="1" applyFill="1" applyBorder="1" applyAlignment="1">
      <alignment horizontal="left" wrapText="1"/>
    </xf>
    <xf numFmtId="0" fontId="128" fillId="38" borderId="0" xfId="0" applyFont="1" applyFill="1" applyBorder="1" applyAlignment="1">
      <alignment wrapText="1"/>
    </xf>
    <xf numFmtId="0" fontId="128" fillId="38" borderId="0" xfId="0" applyFont="1" applyFill="1" applyBorder="1" applyAlignment="1">
      <alignment/>
    </xf>
    <xf numFmtId="0" fontId="111" fillId="38" borderId="0" xfId="0" applyFont="1" applyFill="1" applyBorder="1" applyAlignment="1">
      <alignment horizontal="centerContinuous" wrapText="1"/>
    </xf>
    <xf numFmtId="0" fontId="129" fillId="38" borderId="0" xfId="0" applyFont="1" applyFill="1" applyBorder="1" applyAlignment="1">
      <alignment horizontal="centerContinuous" wrapText="1"/>
    </xf>
    <xf numFmtId="0" fontId="130" fillId="38" borderId="0" xfId="0" applyFont="1" applyFill="1" applyBorder="1" applyAlignment="1">
      <alignment horizontal="left" vertical="top" wrapText="1"/>
    </xf>
    <xf numFmtId="0" fontId="131" fillId="38" borderId="0" xfId="0" applyFont="1" applyFill="1" applyBorder="1" applyAlignment="1">
      <alignment horizontal="centerContinuous" wrapText="1"/>
    </xf>
    <xf numFmtId="0" fontId="112" fillId="38" borderId="0" xfId="0" applyFont="1" applyFill="1" applyAlignment="1">
      <alignment horizontal="center"/>
    </xf>
    <xf numFmtId="0" fontId="112" fillId="38" borderId="0" xfId="0" applyFont="1" applyFill="1" applyBorder="1" applyAlignment="1">
      <alignment horizontal="center" wrapText="1"/>
    </xf>
    <xf numFmtId="0" fontId="111" fillId="38" borderId="0" xfId="0" applyFont="1" applyFill="1" applyBorder="1" applyAlignment="1">
      <alignment/>
    </xf>
    <xf numFmtId="0" fontId="115" fillId="38" borderId="12" xfId="0" applyFont="1" applyFill="1" applyBorder="1" applyAlignment="1">
      <alignment horizontal="center"/>
    </xf>
    <xf numFmtId="0" fontId="115" fillId="38" borderId="37" xfId="0" applyFont="1" applyFill="1" applyBorder="1" applyAlignment="1">
      <alignment/>
    </xf>
    <xf numFmtId="0" fontId="115" fillId="38" borderId="13" xfId="0" applyFont="1" applyFill="1" applyBorder="1" applyAlignment="1">
      <alignment/>
    </xf>
    <xf numFmtId="0" fontId="115" fillId="38" borderId="14" xfId="0" applyFont="1" applyFill="1" applyBorder="1" applyAlignment="1">
      <alignment/>
    </xf>
    <xf numFmtId="0" fontId="115" fillId="38" borderId="14" xfId="0" applyFont="1" applyFill="1" applyBorder="1" applyAlignment="1">
      <alignment horizontal="center"/>
    </xf>
    <xf numFmtId="0" fontId="115" fillId="38" borderId="15" xfId="0" applyFont="1" applyFill="1" applyBorder="1" applyAlignment="1">
      <alignment/>
    </xf>
    <xf numFmtId="0" fontId="115" fillId="38" borderId="14" xfId="0" applyFont="1" applyFill="1" applyBorder="1" applyAlignment="1">
      <alignment wrapText="1"/>
    </xf>
    <xf numFmtId="0" fontId="115" fillId="38" borderId="15" xfId="0" applyFont="1" applyFill="1" applyBorder="1" applyAlignment="1">
      <alignment wrapText="1"/>
    </xf>
    <xf numFmtId="0" fontId="115" fillId="38" borderId="13" xfId="0" applyFont="1" applyFill="1" applyBorder="1" applyAlignment="1">
      <alignment horizontal="centerContinuous"/>
    </xf>
    <xf numFmtId="0" fontId="115" fillId="38" borderId="14" xfId="0" applyFont="1" applyFill="1" applyBorder="1" applyAlignment="1">
      <alignment horizontal="centerContinuous"/>
    </xf>
    <xf numFmtId="0" fontId="115" fillId="38" borderId="15" xfId="0" applyFont="1" applyFill="1" applyBorder="1" applyAlignment="1">
      <alignment horizontal="centerContinuous"/>
    </xf>
    <xf numFmtId="0" fontId="115" fillId="38" borderId="0" xfId="0" applyFont="1" applyFill="1" applyBorder="1" applyAlignment="1">
      <alignment/>
    </xf>
    <xf numFmtId="0" fontId="112" fillId="38" borderId="11" xfId="0" applyFont="1" applyFill="1" applyBorder="1" applyAlignment="1">
      <alignment horizontal="center"/>
    </xf>
    <xf numFmtId="0" fontId="112" fillId="38" borderId="0" xfId="0" applyFont="1" applyFill="1" applyBorder="1" applyAlignment="1">
      <alignment/>
    </xf>
    <xf numFmtId="0" fontId="115" fillId="38" borderId="11" xfId="0" applyFont="1" applyFill="1" applyBorder="1" applyAlignment="1">
      <alignment horizontal="center"/>
    </xf>
    <xf numFmtId="0" fontId="132" fillId="38" borderId="11" xfId="0" applyFont="1" applyFill="1" applyBorder="1" applyAlignment="1">
      <alignment wrapText="1"/>
    </xf>
    <xf numFmtId="0" fontId="111" fillId="38" borderId="11" xfId="0" applyFont="1" applyFill="1" applyBorder="1" applyAlignment="1">
      <alignment horizontal="center"/>
    </xf>
    <xf numFmtId="0" fontId="112" fillId="38" borderId="11" xfId="0" applyFont="1" applyFill="1" applyBorder="1" applyAlignment="1">
      <alignment/>
    </xf>
    <xf numFmtId="0" fontId="115" fillId="38" borderId="11" xfId="0" applyFont="1" applyFill="1" applyBorder="1" applyAlignment="1">
      <alignment/>
    </xf>
    <xf numFmtId="0" fontId="115" fillId="38" borderId="11" xfId="0" applyFont="1" applyFill="1" applyBorder="1" applyAlignment="1">
      <alignment horizontal="center" vertical="center" wrapText="1"/>
    </xf>
    <xf numFmtId="186" fontId="115" fillId="38" borderId="11" xfId="0" applyNumberFormat="1" applyFont="1" applyFill="1" applyBorder="1" applyAlignment="1">
      <alignment horizontal="center"/>
    </xf>
    <xf numFmtId="0" fontId="133" fillId="38" borderId="11" xfId="0" applyFont="1" applyFill="1" applyBorder="1" applyAlignment="1">
      <alignment/>
    </xf>
    <xf numFmtId="186" fontId="132" fillId="38" borderId="11" xfId="0" applyNumberFormat="1" applyFont="1" applyFill="1" applyBorder="1" applyAlignment="1">
      <alignment horizontal="center"/>
    </xf>
    <xf numFmtId="0" fontId="115" fillId="38" borderId="0" xfId="0" applyFont="1" applyFill="1" applyAlignment="1">
      <alignment/>
    </xf>
    <xf numFmtId="0" fontId="128" fillId="38" borderId="11" xfId="0" applyFont="1" applyFill="1" applyBorder="1" applyAlignment="1">
      <alignment/>
    </xf>
    <xf numFmtId="2" fontId="111" fillId="38" borderId="11" xfId="0" applyNumberFormat="1" applyFont="1" applyFill="1" applyBorder="1" applyAlignment="1">
      <alignment horizontal="center"/>
    </xf>
    <xf numFmtId="0" fontId="111" fillId="38" borderId="11" xfId="0" applyFont="1" applyFill="1" applyBorder="1" applyAlignment="1">
      <alignment/>
    </xf>
    <xf numFmtId="0" fontId="134" fillId="38" borderId="11" xfId="0" applyFont="1" applyFill="1" applyBorder="1" applyAlignment="1">
      <alignment horizontal="center" wrapText="1"/>
    </xf>
    <xf numFmtId="186" fontId="111" fillId="38" borderId="0" xfId="0" applyNumberFormat="1" applyFont="1" applyFill="1" applyAlignment="1">
      <alignment/>
    </xf>
    <xf numFmtId="49" fontId="115" fillId="38" borderId="11" xfId="0" applyNumberFormat="1" applyFont="1" applyFill="1" applyBorder="1" applyAlignment="1">
      <alignment horizontal="center"/>
    </xf>
    <xf numFmtId="2" fontId="115" fillId="38" borderId="11" xfId="0" applyNumberFormat="1" applyFont="1" applyFill="1" applyBorder="1" applyAlignment="1">
      <alignment horizontal="right"/>
    </xf>
    <xf numFmtId="0" fontId="128" fillId="38" borderId="11" xfId="0" applyFont="1" applyFill="1" applyBorder="1" applyAlignment="1">
      <alignment horizontal="center" vertical="center" wrapText="1"/>
    </xf>
    <xf numFmtId="0" fontId="128" fillId="38" borderId="11" xfId="0" applyFont="1" applyFill="1" applyBorder="1" applyAlignment="1">
      <alignment horizontal="centerContinuous"/>
    </xf>
    <xf numFmtId="0" fontId="132" fillId="38" borderId="11" xfId="0" applyFont="1" applyFill="1" applyBorder="1" applyAlignment="1">
      <alignment horizontal="center" vertical="center" wrapText="1"/>
    </xf>
    <xf numFmtId="0" fontId="132" fillId="38" borderId="11" xfId="0" applyFont="1" applyFill="1" applyBorder="1" applyAlignment="1">
      <alignment horizontal="center"/>
    </xf>
    <xf numFmtId="186" fontId="115" fillId="38" borderId="11" xfId="0" applyNumberFormat="1" applyFont="1" applyFill="1" applyBorder="1" applyAlignment="1">
      <alignment/>
    </xf>
    <xf numFmtId="186" fontId="128" fillId="38" borderId="11" xfId="0" applyNumberFormat="1" applyFont="1" applyFill="1" applyBorder="1" applyAlignment="1">
      <alignment horizontal="center" vertical="center" wrapText="1"/>
    </xf>
    <xf numFmtId="0" fontId="13" fillId="33" borderId="11" xfId="0" applyFont="1" applyFill="1" applyBorder="1" applyAlignment="1">
      <alignment horizontal="center" vertical="center" wrapText="1"/>
    </xf>
    <xf numFmtId="0" fontId="115" fillId="38" borderId="11" xfId="105" applyFont="1" applyFill="1" applyBorder="1" applyAlignment="1">
      <alignment horizontal="center"/>
      <protection/>
    </xf>
    <xf numFmtId="186" fontId="115" fillId="38" borderId="11" xfId="105" applyNumberFormat="1" applyFont="1" applyFill="1" applyBorder="1" applyAlignment="1">
      <alignment horizontal="center"/>
      <protection/>
    </xf>
    <xf numFmtId="0" fontId="132" fillId="38" borderId="11" xfId="105" applyFont="1" applyFill="1" applyBorder="1" applyAlignment="1">
      <alignment horizontal="center"/>
      <protection/>
    </xf>
    <xf numFmtId="0" fontId="125" fillId="38" borderId="11" xfId="0" applyFont="1" applyFill="1" applyBorder="1" applyAlignment="1">
      <alignment horizontal="center"/>
    </xf>
    <xf numFmtId="0" fontId="125" fillId="38" borderId="11" xfId="0" applyFont="1" applyFill="1" applyBorder="1" applyAlignment="1">
      <alignment/>
    </xf>
    <xf numFmtId="0" fontId="125" fillId="38" borderId="11" xfId="0" applyFont="1" applyFill="1" applyBorder="1" applyAlignment="1">
      <alignment horizontal="center" vertical="center" wrapText="1"/>
    </xf>
    <xf numFmtId="0" fontId="107" fillId="38" borderId="11" xfId="0" applyFont="1" applyFill="1" applyBorder="1" applyAlignment="1">
      <alignment horizontal="center"/>
    </xf>
    <xf numFmtId="2" fontId="135" fillId="38" borderId="11" xfId="0" applyNumberFormat="1" applyFont="1" applyFill="1" applyBorder="1" applyAlignment="1">
      <alignment horizontal="center" vertical="center" wrapText="1"/>
    </xf>
    <xf numFmtId="186" fontId="136" fillId="38" borderId="11" xfId="0" applyNumberFormat="1" applyFont="1" applyFill="1" applyBorder="1" applyAlignment="1">
      <alignment horizontal="center" wrapText="1"/>
    </xf>
    <xf numFmtId="186" fontId="107" fillId="38" borderId="11" xfId="0" applyNumberFormat="1" applyFont="1" applyFill="1" applyBorder="1" applyAlignment="1">
      <alignment horizontal="center"/>
    </xf>
    <xf numFmtId="0" fontId="137" fillId="38" borderId="11" xfId="0" applyFont="1" applyFill="1" applyBorder="1" applyAlignment="1">
      <alignment horizontal="center" wrapText="1"/>
    </xf>
    <xf numFmtId="1" fontId="136" fillId="38" borderId="11" xfId="0" applyNumberFormat="1" applyFont="1" applyFill="1" applyBorder="1" applyAlignment="1">
      <alignment horizontal="center" vertical="center" wrapText="1"/>
    </xf>
    <xf numFmtId="49" fontId="137" fillId="38" borderId="11" xfId="0" applyNumberFormat="1" applyFont="1" applyFill="1" applyBorder="1" applyAlignment="1">
      <alignment horizontal="center" wrapText="1"/>
    </xf>
    <xf numFmtId="16" fontId="134" fillId="38" borderId="11" xfId="0" applyNumberFormat="1" applyFont="1" applyFill="1" applyBorder="1" applyAlignment="1">
      <alignment horizontal="center" wrapText="1"/>
    </xf>
    <xf numFmtId="49" fontId="11" fillId="0" borderId="11" xfId="0" applyNumberFormat="1" applyFont="1" applyBorder="1" applyAlignment="1">
      <alignment horizontal="center"/>
    </xf>
    <xf numFmtId="0" fontId="11" fillId="0" borderId="11" xfId="0" applyFont="1" applyBorder="1" applyAlignment="1">
      <alignment horizontal="center" vertical="center"/>
    </xf>
    <xf numFmtId="1" fontId="11" fillId="0" borderId="11" xfId="0" applyNumberFormat="1" applyFont="1" applyBorder="1" applyAlignment="1">
      <alignment horizontal="center" vertical="center"/>
    </xf>
    <xf numFmtId="0" fontId="11" fillId="38" borderId="11" xfId="0" applyFont="1" applyFill="1" applyBorder="1" applyAlignment="1">
      <alignment horizontal="center" vertical="center"/>
    </xf>
    <xf numFmtId="0" fontId="11" fillId="38" borderId="17" xfId="0" applyFont="1" applyFill="1" applyBorder="1" applyAlignment="1">
      <alignment horizontal="center" vertical="center"/>
    </xf>
    <xf numFmtId="0" fontId="11" fillId="0" borderId="17" xfId="0" applyFont="1" applyBorder="1" applyAlignment="1">
      <alignment horizontal="center"/>
    </xf>
    <xf numFmtId="186" fontId="11" fillId="0" borderId="17" xfId="0" applyNumberFormat="1" applyFont="1" applyBorder="1" applyAlignment="1">
      <alignment horizontal="center"/>
    </xf>
    <xf numFmtId="0" fontId="11" fillId="38" borderId="17" xfId="0" applyFont="1" applyFill="1" applyBorder="1" applyAlignment="1">
      <alignment horizontal="center"/>
    </xf>
    <xf numFmtId="2" fontId="11" fillId="0" borderId="11" xfId="0" applyNumberFormat="1" applyFont="1" applyBorder="1" applyAlignment="1">
      <alignment horizontal="center"/>
    </xf>
    <xf numFmtId="186" fontId="11" fillId="0" borderId="11" xfId="0" applyNumberFormat="1" applyFont="1" applyBorder="1" applyAlignment="1">
      <alignment horizontal="center" vertical="center"/>
    </xf>
    <xf numFmtId="186" fontId="11" fillId="38" borderId="11" xfId="0" applyNumberFormat="1" applyFont="1" applyFill="1" applyBorder="1" applyAlignment="1">
      <alignment horizontal="center"/>
    </xf>
    <xf numFmtId="0" fontId="11" fillId="38" borderId="12" xfId="0" applyFont="1" applyFill="1" applyBorder="1" applyAlignment="1">
      <alignment horizontal="center" vertical="center"/>
    </xf>
    <xf numFmtId="0" fontId="11" fillId="38" borderId="12" xfId="0" applyFont="1" applyFill="1" applyBorder="1" applyAlignment="1">
      <alignment horizontal="center"/>
    </xf>
    <xf numFmtId="1" fontId="11" fillId="0" borderId="12" xfId="0" applyNumberFormat="1" applyFont="1" applyBorder="1" applyAlignment="1">
      <alignment horizontal="center" vertical="center"/>
    </xf>
    <xf numFmtId="49" fontId="11" fillId="0" borderId="11" xfId="0" applyNumberFormat="1" applyFont="1" applyBorder="1" applyAlignment="1">
      <alignment horizontal="center" vertical="center"/>
    </xf>
    <xf numFmtId="2" fontId="11" fillId="38" borderId="12" xfId="0" applyNumberFormat="1" applyFont="1" applyFill="1" applyBorder="1" applyAlignment="1">
      <alignment horizontal="center"/>
    </xf>
    <xf numFmtId="0" fontId="11" fillId="0" borderId="11" xfId="0" applyFont="1" applyBorder="1" applyAlignment="1">
      <alignment horizontal="center" vertical="center" wrapText="1"/>
    </xf>
    <xf numFmtId="0" fontId="11" fillId="38" borderId="15" xfId="0" applyFont="1" applyFill="1" applyBorder="1" applyAlignment="1">
      <alignment horizontal="center"/>
    </xf>
    <xf numFmtId="0" fontId="11" fillId="38" borderId="52" xfId="0" applyFont="1" applyFill="1" applyBorder="1" applyAlignment="1">
      <alignment horizontal="center"/>
    </xf>
    <xf numFmtId="0" fontId="11" fillId="38" borderId="11" xfId="0" applyFont="1" applyFill="1" applyBorder="1" applyAlignment="1">
      <alignment horizontal="center" vertical="center" wrapText="1"/>
    </xf>
    <xf numFmtId="186" fontId="13" fillId="33" borderId="11" xfId="0" applyNumberFormat="1" applyFont="1" applyFill="1" applyBorder="1" applyAlignment="1">
      <alignment horizontal="center"/>
    </xf>
    <xf numFmtId="49" fontId="11" fillId="0" borderId="53" xfId="0" applyNumberFormat="1" applyFont="1" applyBorder="1" applyAlignment="1">
      <alignment horizontal="center" vertical="center" wrapText="1"/>
    </xf>
    <xf numFmtId="49" fontId="11" fillId="0" borderId="11" xfId="0" applyNumberFormat="1" applyFont="1" applyBorder="1" applyAlignment="1">
      <alignment horizontal="center" vertical="center" wrapText="1"/>
    </xf>
    <xf numFmtId="49" fontId="11" fillId="39" borderId="53" xfId="0" applyNumberFormat="1" applyFont="1" applyFill="1" applyBorder="1" applyAlignment="1">
      <alignment horizontal="center" vertical="center" wrapText="1"/>
    </xf>
    <xf numFmtId="49" fontId="11" fillId="39" borderId="11" xfId="0" applyNumberFormat="1" applyFont="1" applyFill="1" applyBorder="1" applyAlignment="1">
      <alignment horizontal="center" vertical="center"/>
    </xf>
    <xf numFmtId="0" fontId="111" fillId="38" borderId="11" xfId="0" applyFont="1" applyFill="1" applyBorder="1" applyAlignment="1">
      <alignment horizontal="center" vertical="center" wrapText="1"/>
    </xf>
    <xf numFmtId="0" fontId="138" fillId="37" borderId="0" xfId="0" applyFont="1" applyFill="1" applyAlignment="1">
      <alignment horizontal="center" wrapText="1"/>
    </xf>
    <xf numFmtId="0" fontId="128" fillId="38" borderId="0" xfId="0" applyFont="1" applyFill="1" applyBorder="1" applyAlignment="1">
      <alignment horizontal="center" wrapText="1"/>
    </xf>
    <xf numFmtId="0" fontId="120" fillId="0" borderId="11" xfId="0" applyFont="1" applyBorder="1" applyAlignment="1">
      <alignment horizontal="left"/>
    </xf>
    <xf numFmtId="0" fontId="49" fillId="0" borderId="11" xfId="0" applyFont="1" applyBorder="1" applyAlignment="1">
      <alignment horizontal="center"/>
    </xf>
    <xf numFmtId="186" fontId="49" fillId="0" borderId="11" xfId="0" applyNumberFormat="1" applyFont="1" applyBorder="1" applyAlignment="1">
      <alignment horizontal="center"/>
    </xf>
    <xf numFmtId="0" fontId="38" fillId="0" borderId="11" xfId="0" applyFont="1" applyBorder="1" applyAlignment="1">
      <alignment horizontal="left"/>
    </xf>
    <xf numFmtId="0" fontId="50" fillId="0" borderId="0" xfId="0" applyFont="1" applyAlignment="1">
      <alignment horizontal="center" vertical="center" wrapText="1"/>
    </xf>
    <xf numFmtId="49" fontId="38" fillId="0" borderId="12" xfId="0" applyNumberFormat="1" applyFont="1" applyBorder="1" applyAlignment="1">
      <alignment horizontal="left"/>
    </xf>
    <xf numFmtId="0" fontId="38" fillId="0" borderId="11" xfId="0" applyFont="1" applyFill="1" applyBorder="1" applyAlignment="1">
      <alignment horizontal="left"/>
    </xf>
    <xf numFmtId="0" fontId="38" fillId="0" borderId="11" xfId="0" applyFont="1" applyBorder="1" applyAlignment="1">
      <alignment horizontal="center" vertical="center" wrapText="1"/>
    </xf>
    <xf numFmtId="186" fontId="111" fillId="38" borderId="11" xfId="0" applyNumberFormat="1" applyFont="1" applyFill="1" applyBorder="1" applyAlignment="1">
      <alignment horizontal="center"/>
    </xf>
    <xf numFmtId="0" fontId="120" fillId="0" borderId="11" xfId="0" applyFont="1" applyBorder="1" applyAlignment="1">
      <alignment horizontal="center"/>
    </xf>
    <xf numFmtId="0" fontId="111" fillId="0" borderId="11" xfId="0" applyFont="1" applyBorder="1" applyAlignment="1">
      <alignment horizontal="center"/>
    </xf>
    <xf numFmtId="186" fontId="111" fillId="0" borderId="11" xfId="0" applyNumberFormat="1" applyFont="1" applyBorder="1" applyAlignment="1">
      <alignment horizontal="center"/>
    </xf>
    <xf numFmtId="0" fontId="111" fillId="0" borderId="11" xfId="0" applyFont="1" applyBorder="1" applyAlignment="1">
      <alignment horizontal="left"/>
    </xf>
    <xf numFmtId="186" fontId="111" fillId="0" borderId="11" xfId="0" applyNumberFormat="1" applyFont="1" applyBorder="1" applyAlignment="1">
      <alignment horizontal="left"/>
    </xf>
    <xf numFmtId="186" fontId="111" fillId="38" borderId="11" xfId="0" applyNumberFormat="1" applyFont="1" applyFill="1" applyBorder="1" applyAlignment="1">
      <alignment horizontal="left"/>
    </xf>
    <xf numFmtId="186" fontId="111" fillId="38" borderId="11" xfId="0" applyNumberFormat="1" applyFont="1" applyFill="1" applyBorder="1" applyAlignment="1" applyProtection="1">
      <alignment horizontal="center" vertical="center"/>
      <protection/>
    </xf>
    <xf numFmtId="0" fontId="120" fillId="0" borderId="11" xfId="98" applyFont="1" applyBorder="1" applyAlignment="1">
      <alignment/>
      <protection/>
    </xf>
    <xf numFmtId="49" fontId="50" fillId="0" borderId="13" xfId="0" applyNumberFormat="1" applyFont="1" applyBorder="1" applyAlignment="1">
      <alignment vertical="center" wrapText="1"/>
    </xf>
    <xf numFmtId="49" fontId="50" fillId="0" borderId="11" xfId="0" applyNumberFormat="1" applyFont="1" applyBorder="1" applyAlignment="1">
      <alignment vertical="center" wrapText="1"/>
    </xf>
    <xf numFmtId="0" fontId="128" fillId="38" borderId="11" xfId="0" applyFont="1" applyFill="1" applyBorder="1" applyAlignment="1">
      <alignment wrapText="1"/>
    </xf>
    <xf numFmtId="0" fontId="107" fillId="38" borderId="0" xfId="0" applyFont="1" applyFill="1" applyAlignment="1">
      <alignment/>
    </xf>
    <xf numFmtId="0" fontId="133" fillId="38" borderId="11" xfId="0" applyFont="1" applyFill="1" applyBorder="1" applyAlignment="1">
      <alignment wrapText="1"/>
    </xf>
    <xf numFmtId="0" fontId="139" fillId="38" borderId="11" xfId="0" applyFont="1" applyFill="1" applyBorder="1" applyAlignment="1">
      <alignment horizontal="center" vertical="center" wrapText="1"/>
    </xf>
    <xf numFmtId="0" fontId="132" fillId="38" borderId="11" xfId="0" applyFont="1" applyFill="1" applyBorder="1" applyAlignment="1">
      <alignment/>
    </xf>
    <xf numFmtId="0" fontId="112" fillId="38" borderId="0" xfId="0" applyFont="1" applyFill="1" applyAlignment="1">
      <alignment/>
    </xf>
    <xf numFmtId="0" fontId="139" fillId="38" borderId="11" xfId="0" applyFont="1" applyFill="1" applyBorder="1" applyAlignment="1">
      <alignment/>
    </xf>
    <xf numFmtId="0" fontId="133" fillId="38" borderId="11" xfId="0" applyFont="1" applyFill="1" applyBorder="1" applyAlignment="1">
      <alignment horizontal="center" wrapText="1"/>
    </xf>
    <xf numFmtId="0" fontId="115" fillId="38" borderId="11" xfId="0" applyFont="1" applyFill="1" applyBorder="1" applyAlignment="1">
      <alignment wrapText="1"/>
    </xf>
    <xf numFmtId="0" fontId="120" fillId="0" borderId="11" xfId="0" applyFont="1" applyBorder="1" applyAlignment="1">
      <alignment horizontal="left" wrapText="1"/>
    </xf>
    <xf numFmtId="0" fontId="111" fillId="0" borderId="15" xfId="0" applyFont="1" applyBorder="1" applyAlignment="1">
      <alignment horizontal="center"/>
    </xf>
    <xf numFmtId="186" fontId="116" fillId="0" borderId="30" xfId="96" applyNumberFormat="1" applyFont="1" applyBorder="1">
      <alignment/>
      <protection/>
    </xf>
    <xf numFmtId="0" fontId="140" fillId="38" borderId="11" xfId="0" applyFont="1" applyFill="1" applyBorder="1" applyAlignment="1">
      <alignment vertical="center" wrapText="1"/>
    </xf>
    <xf numFmtId="0" fontId="14" fillId="33" borderId="11" xfId="0" applyFont="1" applyFill="1" applyBorder="1" applyAlignment="1">
      <alignment horizontal="center" wrapText="1"/>
    </xf>
    <xf numFmtId="0" fontId="111" fillId="0" borderId="11" xfId="0" applyFont="1" applyFill="1" applyBorder="1" applyAlignment="1">
      <alignment horizontal="center" vertical="center" wrapText="1"/>
    </xf>
    <xf numFmtId="0" fontId="15" fillId="0" borderId="12" xfId="0" applyFont="1" applyBorder="1" applyAlignment="1">
      <alignment horizontal="center" wrapText="1"/>
    </xf>
    <xf numFmtId="0" fontId="15" fillId="0" borderId="17" xfId="0" applyFont="1" applyBorder="1" applyAlignment="1">
      <alignment horizontal="center" wrapText="1"/>
    </xf>
    <xf numFmtId="0" fontId="141" fillId="0" borderId="52" xfId="0" applyFont="1" applyFill="1" applyBorder="1" applyAlignment="1">
      <alignment horizontal="center" vertical="top" wrapText="1"/>
    </xf>
    <xf numFmtId="0" fontId="141" fillId="0" borderId="46" xfId="0" applyFont="1" applyFill="1" applyBorder="1" applyAlignment="1">
      <alignment horizontal="center" vertical="top" wrapText="1"/>
    </xf>
    <xf numFmtId="0" fontId="111" fillId="0" borderId="52" xfId="0" applyFont="1" applyFill="1" applyBorder="1" applyAlignment="1">
      <alignment horizontal="center" vertical="top" wrapText="1"/>
    </xf>
    <xf numFmtId="0" fontId="111" fillId="0" borderId="39" xfId="0" applyFont="1" applyFill="1" applyBorder="1" applyAlignment="1">
      <alignment horizontal="center" vertical="top" wrapText="1"/>
    </xf>
    <xf numFmtId="0" fontId="111" fillId="0" borderId="46" xfId="0" applyFont="1" applyFill="1" applyBorder="1" applyAlignment="1">
      <alignment horizontal="center" vertical="top" wrapText="1"/>
    </xf>
    <xf numFmtId="0" fontId="12" fillId="33" borderId="0" xfId="0" applyFont="1" applyFill="1" applyBorder="1" applyAlignment="1">
      <alignment horizontal="center" wrapText="1"/>
    </xf>
    <xf numFmtId="0" fontId="12" fillId="33" borderId="10" xfId="0" applyFont="1" applyFill="1" applyBorder="1" applyAlignment="1">
      <alignment horizontal="center" wrapText="1"/>
    </xf>
    <xf numFmtId="49" fontId="126" fillId="0" borderId="16" xfId="0" applyNumberFormat="1" applyFont="1" applyFill="1" applyBorder="1" applyAlignment="1">
      <alignment horizontal="center" vertical="top" wrapText="1"/>
    </xf>
    <xf numFmtId="49" fontId="126" fillId="0" borderId="17" xfId="0" applyNumberFormat="1" applyFont="1" applyFill="1" applyBorder="1" applyAlignment="1">
      <alignment horizontal="center" vertical="top" wrapText="1"/>
    </xf>
    <xf numFmtId="0" fontId="111" fillId="0" borderId="0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left" wrapText="1"/>
    </xf>
    <xf numFmtId="0" fontId="113" fillId="0" borderId="0" xfId="0" applyFont="1" applyFill="1" applyAlignment="1">
      <alignment horizontal="left" vertical="center" wrapText="1"/>
    </xf>
    <xf numFmtId="49" fontId="126" fillId="0" borderId="12" xfId="0" applyNumberFormat="1" applyFont="1" applyFill="1" applyBorder="1" applyAlignment="1">
      <alignment horizontal="center" vertical="top" wrapText="1"/>
    </xf>
    <xf numFmtId="0" fontId="15" fillId="0" borderId="13" xfId="0" applyFont="1" applyBorder="1" applyAlignment="1">
      <alignment horizontal="center" vertical="top" wrapText="1"/>
    </xf>
    <xf numFmtId="0" fontId="15" fillId="0" borderId="15" xfId="0" applyFont="1" applyBorder="1" applyAlignment="1">
      <alignment horizontal="center" vertical="top" wrapText="1"/>
    </xf>
    <xf numFmtId="0" fontId="10" fillId="38" borderId="0" xfId="0" applyFont="1" applyFill="1" applyBorder="1" applyAlignment="1">
      <alignment horizontal="center" wrapText="1"/>
    </xf>
    <xf numFmtId="0" fontId="138" fillId="37" borderId="0" xfId="0" applyFont="1" applyFill="1" applyAlignment="1">
      <alignment horizontal="center" wrapText="1"/>
    </xf>
    <xf numFmtId="0" fontId="16" fillId="0" borderId="38" xfId="0" applyFont="1" applyBorder="1" applyAlignment="1">
      <alignment horizontal="center" wrapText="1"/>
    </xf>
    <xf numFmtId="0" fontId="16" fillId="0" borderId="43" xfId="0" applyFont="1" applyBorder="1" applyAlignment="1">
      <alignment horizontal="center" wrapText="1"/>
    </xf>
    <xf numFmtId="0" fontId="16" fillId="0" borderId="45" xfId="0" applyFont="1" applyBorder="1" applyAlignment="1">
      <alignment horizontal="center" wrapText="1"/>
    </xf>
    <xf numFmtId="0" fontId="16" fillId="0" borderId="54" xfId="0" applyFont="1" applyBorder="1" applyAlignment="1">
      <alignment horizontal="center" wrapText="1"/>
    </xf>
    <xf numFmtId="0" fontId="15" fillId="0" borderId="13" xfId="0" applyFont="1" applyBorder="1" applyAlignment="1">
      <alignment horizontal="center" wrapText="1"/>
    </xf>
    <xf numFmtId="0" fontId="15" fillId="0" borderId="15" xfId="0" applyFont="1" applyBorder="1" applyAlignment="1">
      <alignment horizontal="center" wrapText="1"/>
    </xf>
    <xf numFmtId="0" fontId="35" fillId="0" borderId="0" xfId="0" applyFont="1" applyAlignment="1">
      <alignment horizontal="left" wrapText="1"/>
    </xf>
    <xf numFmtId="0" fontId="12" fillId="33" borderId="10" xfId="0" applyFont="1" applyFill="1" applyBorder="1" applyAlignment="1">
      <alignment horizontal="center"/>
    </xf>
    <xf numFmtId="0" fontId="15" fillId="0" borderId="55" xfId="97" applyFont="1" applyBorder="1" applyAlignment="1">
      <alignment horizontal="center" vertical="center" wrapText="1"/>
      <protection/>
    </xf>
    <xf numFmtId="0" fontId="15" fillId="0" borderId="16" xfId="97" applyFont="1" applyBorder="1" applyAlignment="1">
      <alignment horizontal="center" vertical="center" wrapText="1"/>
      <protection/>
    </xf>
    <xf numFmtId="0" fontId="15" fillId="0" borderId="35" xfId="97" applyFont="1" applyBorder="1" applyAlignment="1">
      <alignment horizontal="center" vertical="center" wrapText="1"/>
      <protection/>
    </xf>
    <xf numFmtId="0" fontId="15" fillId="0" borderId="25" xfId="0" applyFont="1" applyBorder="1" applyAlignment="1">
      <alignment horizontal="center" vertical="center" wrapText="1"/>
    </xf>
    <xf numFmtId="0" fontId="15" fillId="0" borderId="39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/>
    </xf>
    <xf numFmtId="0" fontId="10" fillId="0" borderId="43" xfId="0" applyFont="1" applyBorder="1" applyAlignment="1">
      <alignment horizontal="center"/>
    </xf>
    <xf numFmtId="0" fontId="14" fillId="0" borderId="19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11" fillId="33" borderId="10" xfId="0" applyFont="1" applyFill="1" applyBorder="1" applyAlignment="1">
      <alignment horizontal="center" wrapText="1"/>
    </xf>
    <xf numFmtId="0" fontId="14" fillId="0" borderId="56" xfId="0" applyFont="1" applyBorder="1" applyAlignment="1">
      <alignment horizontal="center" vertical="center"/>
    </xf>
    <xf numFmtId="0" fontId="14" fillId="33" borderId="0" xfId="0" applyFont="1" applyFill="1" applyAlignment="1">
      <alignment horizontal="center" wrapText="1"/>
    </xf>
    <xf numFmtId="0" fontId="14" fillId="0" borderId="38" xfId="0" applyFont="1" applyFill="1" applyBorder="1" applyAlignment="1">
      <alignment horizontal="center" wrapText="1"/>
    </xf>
    <xf numFmtId="0" fontId="14" fillId="0" borderId="42" xfId="0" applyFont="1" applyFill="1" applyBorder="1" applyAlignment="1">
      <alignment horizontal="center" wrapText="1"/>
    </xf>
    <xf numFmtId="0" fontId="14" fillId="0" borderId="43" xfId="0" applyFont="1" applyFill="1" applyBorder="1" applyAlignment="1">
      <alignment horizontal="center" wrapText="1"/>
    </xf>
    <xf numFmtId="0" fontId="125" fillId="33" borderId="42" xfId="0" applyFont="1" applyFill="1" applyBorder="1" applyAlignment="1">
      <alignment horizontal="center" wrapText="1"/>
    </xf>
    <xf numFmtId="0" fontId="125" fillId="33" borderId="43" xfId="0" applyFont="1" applyFill="1" applyBorder="1" applyAlignment="1">
      <alignment horizontal="center" wrapText="1"/>
    </xf>
    <xf numFmtId="0" fontId="14" fillId="33" borderId="0" xfId="0" applyFont="1" applyFill="1" applyBorder="1" applyAlignment="1">
      <alignment horizontal="center" wrapText="1"/>
    </xf>
    <xf numFmtId="0" fontId="108" fillId="33" borderId="0" xfId="0" applyFont="1" applyFill="1" applyBorder="1" applyAlignment="1">
      <alignment horizontal="left" wrapText="1"/>
    </xf>
    <xf numFmtId="0" fontId="32" fillId="0" borderId="0" xfId="0" applyFont="1" applyAlignment="1">
      <alignment horizontal="center" wrapText="1"/>
    </xf>
    <xf numFmtId="0" fontId="14" fillId="33" borderId="0" xfId="0" applyFont="1" applyFill="1" applyAlignment="1">
      <alignment horizontal="center"/>
    </xf>
    <xf numFmtId="0" fontId="11" fillId="33" borderId="0" xfId="0" applyFont="1" applyFill="1" applyAlignment="1">
      <alignment horizontal="center" wrapText="1"/>
    </xf>
    <xf numFmtId="0" fontId="12" fillId="33" borderId="0" xfId="0" applyFont="1" applyFill="1" applyBorder="1" applyAlignment="1">
      <alignment horizontal="left" wrapText="1"/>
    </xf>
    <xf numFmtId="0" fontId="115" fillId="38" borderId="14" xfId="0" applyFont="1" applyFill="1" applyBorder="1" applyAlignment="1">
      <alignment horizontal="center" wrapText="1"/>
    </xf>
    <xf numFmtId="0" fontId="129" fillId="38" borderId="10" xfId="0" applyFont="1" applyFill="1" applyBorder="1" applyAlignment="1">
      <alignment horizontal="center" wrapText="1"/>
    </xf>
    <xf numFmtId="0" fontId="128" fillId="38" borderId="0" xfId="0" applyFont="1" applyFill="1" applyBorder="1" applyAlignment="1">
      <alignment horizontal="center" wrapText="1"/>
    </xf>
    <xf numFmtId="0" fontId="117" fillId="0" borderId="0" xfId="96" applyFont="1" applyAlignment="1">
      <alignment horizontal="center" vertical="center" wrapText="1"/>
      <protection/>
    </xf>
    <xf numFmtId="0" fontId="118" fillId="0" borderId="21" xfId="96" applyFont="1" applyBorder="1" applyAlignment="1">
      <alignment horizontal="center" vertical="center" wrapText="1"/>
      <protection/>
    </xf>
    <xf numFmtId="0" fontId="118" fillId="0" borderId="28" xfId="96" applyFont="1" applyBorder="1" applyAlignment="1">
      <alignment horizontal="center" vertical="center" wrapText="1"/>
      <protection/>
    </xf>
    <xf numFmtId="0" fontId="120" fillId="0" borderId="22" xfId="96" applyFont="1" applyBorder="1" applyAlignment="1">
      <alignment horizontal="center" vertical="center" wrapText="1"/>
      <protection/>
    </xf>
    <xf numFmtId="0" fontId="120" fillId="0" borderId="57" xfId="96" applyFont="1" applyBorder="1" applyAlignment="1">
      <alignment horizontal="center" vertical="center" wrapText="1"/>
      <protection/>
    </xf>
    <xf numFmtId="0" fontId="120" fillId="0" borderId="38" xfId="96" applyFont="1" applyBorder="1" applyAlignment="1">
      <alignment horizontal="center" vertical="center" wrapText="1"/>
      <protection/>
    </xf>
    <xf numFmtId="0" fontId="120" fillId="0" borderId="42" xfId="96" applyFont="1" applyBorder="1" applyAlignment="1">
      <alignment horizontal="center" vertical="center" wrapText="1"/>
      <protection/>
    </xf>
    <xf numFmtId="0" fontId="120" fillId="0" borderId="43" xfId="96" applyFont="1" applyBorder="1" applyAlignment="1">
      <alignment horizontal="center" vertical="center" wrapText="1"/>
      <protection/>
    </xf>
  </cellXfs>
  <cellStyles count="13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omma 2" xfId="45"/>
    <cellStyle name="Comma 2 2" xfId="46"/>
    <cellStyle name="Comma 2 2 2" xfId="47"/>
    <cellStyle name="Comma 2 2 3" xfId="48"/>
    <cellStyle name="Comma 2 3" xfId="49"/>
    <cellStyle name="Comma 2 3 2" xfId="50"/>
    <cellStyle name="Comma 2 3 3" xfId="51"/>
    <cellStyle name="Comma 2 4" xfId="52"/>
    <cellStyle name="Comma 2 5" xfId="53"/>
    <cellStyle name="Comma 2 6" xfId="54"/>
    <cellStyle name="Comma 3" xfId="55"/>
    <cellStyle name="Comma 3 2" xfId="56"/>
    <cellStyle name="Comma 3 2 2" xfId="57"/>
    <cellStyle name="Comma 3 2 3" xfId="58"/>
    <cellStyle name="Comma 3 3" xfId="59"/>
    <cellStyle name="Comma 4" xfId="60"/>
    <cellStyle name="Comma 5" xfId="61"/>
    <cellStyle name="Comma 5 2" xfId="62"/>
    <cellStyle name="Comma 5 3" xfId="63"/>
    <cellStyle name="Comma 6" xfId="64"/>
    <cellStyle name="Comma 6 2" xfId="65"/>
    <cellStyle name="Comma 6 2 2" xfId="66"/>
    <cellStyle name="Comma 6 2 3" xfId="67"/>
    <cellStyle name="Comma 6 3" xfId="68"/>
    <cellStyle name="Comma 6 4" xfId="69"/>
    <cellStyle name="Comma 7" xfId="70"/>
    <cellStyle name="Comma 7 2" xfId="71"/>
    <cellStyle name="Comma 7 2 2" xfId="72"/>
    <cellStyle name="Comma 7 2 3" xfId="73"/>
    <cellStyle name="Comma 7 3" xfId="74"/>
    <cellStyle name="Comma 8" xfId="75"/>
    <cellStyle name="Comma 8 2" xfId="76"/>
    <cellStyle name="Comma 8 3" xfId="77"/>
    <cellStyle name="Comma 9" xfId="78"/>
    <cellStyle name="Comma 9 2" xfId="79"/>
    <cellStyle name="Comma 9 3" xfId="80"/>
    <cellStyle name="Currency" xfId="81"/>
    <cellStyle name="Currency [0]" xfId="82"/>
    <cellStyle name="Explanatory Text" xfId="83"/>
    <cellStyle name="Followed Hyperlink" xfId="84"/>
    <cellStyle name="Good" xfId="85"/>
    <cellStyle name="Heading 1" xfId="86"/>
    <cellStyle name="Heading 2" xfId="87"/>
    <cellStyle name="Heading 3" xfId="88"/>
    <cellStyle name="Heading 4" xfId="89"/>
    <cellStyle name="Hyperlink" xfId="90"/>
    <cellStyle name="Input" xfId="91"/>
    <cellStyle name="Linked Cell" xfId="92"/>
    <cellStyle name="Neutral" xfId="93"/>
    <cellStyle name="Normal 10" xfId="94"/>
    <cellStyle name="Normal 11" xfId="95"/>
    <cellStyle name="Normal 12" xfId="96"/>
    <cellStyle name="Normal 13" xfId="97"/>
    <cellStyle name="Normal 14" xfId="98"/>
    <cellStyle name="Normal 14 2" xfId="99"/>
    <cellStyle name="Normal 2" xfId="100"/>
    <cellStyle name="Normal 2 2" xfId="101"/>
    <cellStyle name="Normal 2 3" xfId="102"/>
    <cellStyle name="Normal 2 3 2" xfId="103"/>
    <cellStyle name="Normal 2 3 3" xfId="104"/>
    <cellStyle name="Normal 2 4" xfId="105"/>
    <cellStyle name="Normal 3" xfId="106"/>
    <cellStyle name="Normal 3 2" xfId="107"/>
    <cellStyle name="Normal 4" xfId="108"/>
    <cellStyle name="Normal 4 2" xfId="109"/>
    <cellStyle name="Normal 4 3" xfId="110"/>
    <cellStyle name="Normal 5" xfId="111"/>
    <cellStyle name="Normal 6" xfId="112"/>
    <cellStyle name="Normal 6 2" xfId="113"/>
    <cellStyle name="Normal 6 2 2" xfId="114"/>
    <cellStyle name="Normal 6 2 3" xfId="115"/>
    <cellStyle name="Normal 6 3" xfId="116"/>
    <cellStyle name="Normal 6 4" xfId="117"/>
    <cellStyle name="Normal 7" xfId="118"/>
    <cellStyle name="Normal 8" xfId="119"/>
    <cellStyle name="Normal 8 2" xfId="120"/>
    <cellStyle name="Normal 8 3" xfId="121"/>
    <cellStyle name="Normal 9" xfId="122"/>
    <cellStyle name="Note" xfId="123"/>
    <cellStyle name="Output" xfId="124"/>
    <cellStyle name="Percent" xfId="125"/>
    <cellStyle name="Style 1" xfId="126"/>
    <cellStyle name="Style 1 2" xfId="127"/>
    <cellStyle name="Style 1 3" xfId="128"/>
    <cellStyle name="Style 1 4" xfId="129"/>
    <cellStyle name="Title" xfId="130"/>
    <cellStyle name="Total" xfId="131"/>
    <cellStyle name="Warning Text" xfId="132"/>
    <cellStyle name="Обычный 2" xfId="133"/>
    <cellStyle name="Обычный 2 2" xfId="134"/>
    <cellStyle name="Обычный 2 2 2" xfId="135"/>
    <cellStyle name="Обычный 3" xfId="136"/>
    <cellStyle name="Стиль 1" xfId="137"/>
    <cellStyle name="Стиль 1 2" xfId="138"/>
    <cellStyle name="Стиль 1 2 2" xfId="139"/>
    <cellStyle name="Стиль 1 2 3" xfId="140"/>
    <cellStyle name="Финансовый 2" xfId="141"/>
    <cellStyle name="Финансовый 2 2" xfId="142"/>
    <cellStyle name="Финансовый 2 2 2" xfId="143"/>
    <cellStyle name="Финансовый 2 2 3" xfId="144"/>
    <cellStyle name="Финансовый 2 3" xfId="145"/>
    <cellStyle name="Финансовый 2 4" xfId="146"/>
    <cellStyle name="Финансовый 3" xfId="147"/>
    <cellStyle name="Финансовый 3 2" xfId="148"/>
    <cellStyle name="Финансовый 4" xfId="149"/>
    <cellStyle name="Финансовый 4 2" xfId="150"/>
    <cellStyle name="Финансовый 4 3" xfId="151"/>
  </cellStyles>
  <dxfs count="2">
    <dxf>
      <font>
        <color indexed="9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I12" sqref="I12"/>
    </sheetView>
  </sheetViews>
  <sheetFormatPr defaultColWidth="9.140625" defaultRowHeight="12.75"/>
  <cols>
    <col min="1" max="3" width="7.28125" style="19" customWidth="1"/>
    <col min="4" max="4" width="9.140625" style="19" customWidth="1"/>
    <col min="5" max="5" width="12.28125" style="19" customWidth="1"/>
    <col min="6" max="6" width="45.140625" style="19" customWidth="1"/>
    <col min="7" max="11" width="12.8515625" style="18" customWidth="1"/>
    <col min="12" max="16384" width="9.140625" style="19" customWidth="1"/>
  </cols>
  <sheetData>
    <row r="1" spans="7:11" s="31" customFormat="1" ht="23.25" customHeight="1">
      <c r="G1" s="2"/>
      <c r="H1" s="3" t="s">
        <v>10</v>
      </c>
      <c r="I1" s="3"/>
      <c r="J1" s="3"/>
      <c r="K1" s="3"/>
    </row>
    <row r="2" spans="7:11" s="31" customFormat="1" ht="13.5">
      <c r="G2" s="3"/>
      <c r="H2" s="3"/>
      <c r="I2" s="3" t="s">
        <v>11</v>
      </c>
      <c r="J2" s="3"/>
      <c r="K2" s="3"/>
    </row>
    <row r="3" spans="1:11" s="31" customFormat="1" ht="27" customHeight="1" thickBot="1">
      <c r="A3" s="604" t="s">
        <v>385</v>
      </c>
      <c r="B3" s="604"/>
      <c r="C3" s="604"/>
      <c r="D3" s="604"/>
      <c r="E3" s="604"/>
      <c r="F3" s="604"/>
      <c r="G3" s="604"/>
      <c r="H3" s="3"/>
      <c r="I3" s="3"/>
      <c r="J3" s="3"/>
      <c r="K3" s="3"/>
    </row>
    <row r="4" spans="1:11" s="31" customFormat="1" ht="14.25">
      <c r="A4" s="603" t="s">
        <v>12</v>
      </c>
      <c r="B4" s="603"/>
      <c r="C4" s="603"/>
      <c r="D4" s="603"/>
      <c r="G4" s="23"/>
      <c r="H4" s="3"/>
      <c r="I4" s="3"/>
      <c r="J4" s="3"/>
      <c r="K4" s="3"/>
    </row>
    <row r="5" spans="7:11" s="31" customFormat="1" ht="13.5">
      <c r="G5" s="10"/>
      <c r="H5" s="10"/>
      <c r="I5" s="10"/>
      <c r="J5" s="10"/>
      <c r="K5" s="10"/>
    </row>
    <row r="6" spans="7:11" s="31" customFormat="1" ht="13.5" customHeight="1">
      <c r="G6" s="9"/>
      <c r="H6" s="10"/>
      <c r="I6" s="397" t="s">
        <v>334</v>
      </c>
      <c r="J6" s="397" t="s">
        <v>334</v>
      </c>
      <c r="K6" s="397" t="s">
        <v>334</v>
      </c>
    </row>
    <row r="7" spans="1:12" s="232" customFormat="1" ht="13.5" customHeight="1">
      <c r="A7" s="595" t="s">
        <v>262</v>
      </c>
      <c r="B7" s="595" t="s">
        <v>263</v>
      </c>
      <c r="C7" s="595" t="s">
        <v>264</v>
      </c>
      <c r="D7" s="595" t="s">
        <v>265</v>
      </c>
      <c r="E7" s="595"/>
      <c r="F7" s="595" t="s">
        <v>285</v>
      </c>
      <c r="G7" s="596" t="s">
        <v>359</v>
      </c>
      <c r="H7" s="596" t="s">
        <v>360</v>
      </c>
      <c r="I7" s="596" t="s">
        <v>346</v>
      </c>
      <c r="J7" s="596" t="s">
        <v>347</v>
      </c>
      <c r="K7" s="596" t="s">
        <v>361</v>
      </c>
      <c r="L7" s="231"/>
    </row>
    <row r="8" spans="1:12" s="232" customFormat="1" ht="26.25" customHeight="1">
      <c r="A8" s="595"/>
      <c r="B8" s="595"/>
      <c r="C8" s="595"/>
      <c r="D8" s="355" t="s">
        <v>266</v>
      </c>
      <c r="E8" s="355" t="s">
        <v>267</v>
      </c>
      <c r="F8" s="595"/>
      <c r="G8" s="597"/>
      <c r="H8" s="597"/>
      <c r="I8" s="597"/>
      <c r="J8" s="597"/>
      <c r="K8" s="597"/>
      <c r="L8" s="231"/>
    </row>
    <row r="9" spans="1:12" s="232" customFormat="1" ht="12.75">
      <c r="A9" s="377">
        <v>1</v>
      </c>
      <c r="B9" s="377">
        <v>2</v>
      </c>
      <c r="C9" s="377">
        <v>3</v>
      </c>
      <c r="D9" s="377">
        <v>4</v>
      </c>
      <c r="E9" s="357">
        <v>5</v>
      </c>
      <c r="F9" s="357">
        <v>6</v>
      </c>
      <c r="G9" s="357">
        <v>7</v>
      </c>
      <c r="H9" s="357">
        <v>8</v>
      </c>
      <c r="I9" s="357">
        <v>9</v>
      </c>
      <c r="J9" s="357">
        <v>10</v>
      </c>
      <c r="K9" s="357">
        <v>11</v>
      </c>
      <c r="L9" s="231"/>
    </row>
    <row r="10" spans="1:11" ht="16.5">
      <c r="A10" s="441"/>
      <c r="B10" s="441"/>
      <c r="C10" s="441"/>
      <c r="D10" s="441"/>
      <c r="E10" s="440"/>
      <c r="F10" s="356" t="s">
        <v>268</v>
      </c>
      <c r="G10" s="25"/>
      <c r="H10" s="25"/>
      <c r="I10" s="25"/>
      <c r="J10" s="25"/>
      <c r="K10" s="25"/>
    </row>
    <row r="11" spans="1:11" ht="24.75" customHeight="1">
      <c r="A11" s="605" t="s">
        <v>963</v>
      </c>
      <c r="B11" s="605" t="s">
        <v>963</v>
      </c>
      <c r="C11" s="605" t="s">
        <v>963</v>
      </c>
      <c r="D11" s="605" t="s">
        <v>964</v>
      </c>
      <c r="E11" s="600"/>
      <c r="F11" s="364" t="s">
        <v>965</v>
      </c>
      <c r="G11" s="17"/>
      <c r="H11" s="17"/>
      <c r="I11" s="17"/>
      <c r="J11" s="17"/>
      <c r="K11" s="17"/>
    </row>
    <row r="12" spans="1:11" ht="31.5" customHeight="1">
      <c r="A12" s="605"/>
      <c r="B12" s="605"/>
      <c r="C12" s="605"/>
      <c r="D12" s="605"/>
      <c r="E12" s="601"/>
      <c r="F12" s="242" t="s">
        <v>333</v>
      </c>
      <c r="G12" s="17">
        <f>+G15+G17</f>
        <v>428956.99999999994</v>
      </c>
      <c r="H12" s="17">
        <f>+H15+H17</f>
        <v>453874.3</v>
      </c>
      <c r="I12" s="17">
        <f>+I15+I17</f>
        <v>453428.93693016004</v>
      </c>
      <c r="J12" s="17">
        <f>+J15+J17</f>
        <v>453428.9</v>
      </c>
      <c r="K12" s="17">
        <f>+K15+K17</f>
        <v>453428.9</v>
      </c>
    </row>
    <row r="13" spans="1:11" ht="24" customHeight="1">
      <c r="A13" s="605"/>
      <c r="B13" s="605"/>
      <c r="C13" s="605"/>
      <c r="D13" s="605"/>
      <c r="E13" s="602"/>
      <c r="F13" s="365" t="s">
        <v>268</v>
      </c>
      <c r="G13" s="17"/>
      <c r="H13" s="17"/>
      <c r="I13" s="17"/>
      <c r="J13" s="17"/>
      <c r="K13" s="17"/>
    </row>
    <row r="14" spans="1:11" ht="31.5" customHeight="1">
      <c r="A14" s="605"/>
      <c r="B14" s="605"/>
      <c r="C14" s="605"/>
      <c r="D14" s="605"/>
      <c r="E14" s="598">
        <v>11001</v>
      </c>
      <c r="F14" s="364" t="s">
        <v>966</v>
      </c>
      <c r="G14" s="17"/>
      <c r="H14" s="17"/>
      <c r="I14" s="17"/>
      <c r="J14" s="17"/>
      <c r="K14" s="17"/>
    </row>
    <row r="15" spans="1:11" ht="31.5" customHeight="1">
      <c r="A15" s="605"/>
      <c r="B15" s="605"/>
      <c r="C15" s="605"/>
      <c r="D15" s="605"/>
      <c r="E15" s="599"/>
      <c r="F15" s="242" t="s">
        <v>335</v>
      </c>
      <c r="G15" s="17">
        <f>+'2-ԸՆԴԱՄԵՆԸ ԾԱԽՍԵՐ'!E16</f>
        <v>416202.5999999999</v>
      </c>
      <c r="H15" s="17">
        <f>+'2-ԸՆԴԱՄԵՆԸ ԾԱԽՍԵՐ'!F16</f>
        <v>453874.3</v>
      </c>
      <c r="I15" s="17">
        <f>+'2-ԸՆԴԱՄԵՆԸ ԾԱԽՍԵՐ'!G16</f>
        <v>453428.93693016004</v>
      </c>
      <c r="J15" s="17">
        <f>+'2-ԸՆԴԱՄԵՆԸ ԾԱԽՍԵՐ'!K16</f>
        <v>453428.9</v>
      </c>
      <c r="K15" s="17">
        <f>+'2-ԸՆԴԱՄԵՆԸ ԾԱԽՍԵՐ'!L16</f>
        <v>453428.9</v>
      </c>
    </row>
    <row r="16" spans="1:11" ht="31.5" customHeight="1">
      <c r="A16" s="605"/>
      <c r="B16" s="605"/>
      <c r="C16" s="605"/>
      <c r="D16" s="605"/>
      <c r="E16" s="598">
        <v>31001</v>
      </c>
      <c r="F16" s="364" t="s">
        <v>967</v>
      </c>
      <c r="G16" s="17"/>
      <c r="H16" s="17"/>
      <c r="I16" s="17"/>
      <c r="J16" s="17"/>
      <c r="K16" s="17"/>
    </row>
    <row r="17" spans="1:11" ht="47.25" customHeight="1">
      <c r="A17" s="606"/>
      <c r="B17" s="606"/>
      <c r="C17" s="606"/>
      <c r="D17" s="606"/>
      <c r="E17" s="599"/>
      <c r="F17" s="242" t="s">
        <v>336</v>
      </c>
      <c r="G17" s="17">
        <f>+'2-ԸՆԴԱՄԵՆԸ ԾԱԽՍԵՐ'!E87</f>
        <v>12754.4</v>
      </c>
      <c r="H17" s="17">
        <f>+'2-ԸՆԴԱՄԵՆԸ ԾԱԽՍԵՐ'!F87</f>
        <v>0</v>
      </c>
      <c r="I17" s="17">
        <f>+'2-ԸՆԴԱՄԵՆԸ ԾԱԽՍԵՐ'!G87</f>
        <v>0</v>
      </c>
      <c r="J17" s="17">
        <f>+'2-ԸՆԴԱՄԵՆԸ ԾԱԽՍԵՐ'!K87</f>
        <v>0</v>
      </c>
      <c r="K17" s="17">
        <f>+'2-ԸՆԴԱՄԵՆԸ ԾԱԽՍԵՐ'!L87</f>
        <v>0</v>
      </c>
    </row>
  </sheetData>
  <sheetProtection/>
  <mergeCells count="19">
    <mergeCell ref="A4:D4"/>
    <mergeCell ref="J7:J8"/>
    <mergeCell ref="K7:K8"/>
    <mergeCell ref="A3:G3"/>
    <mergeCell ref="A11:A17"/>
    <mergeCell ref="B11:B17"/>
    <mergeCell ref="C11:C17"/>
    <mergeCell ref="G7:G8"/>
    <mergeCell ref="I7:I8"/>
    <mergeCell ref="D11:D17"/>
    <mergeCell ref="A7:A8"/>
    <mergeCell ref="F7:F8"/>
    <mergeCell ref="H7:H8"/>
    <mergeCell ref="C7:C8"/>
    <mergeCell ref="E16:E17"/>
    <mergeCell ref="E14:E15"/>
    <mergeCell ref="D7:E7"/>
    <mergeCell ref="E11:E13"/>
    <mergeCell ref="B7:B8"/>
  </mergeCells>
  <printOptions/>
  <pageMargins left="0.17" right="0.17" top="1" bottom="1" header="0.26" footer="0.5"/>
  <pageSetup horizontalDpi="600" verticalDpi="600" orientation="landscape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68"/>
  <sheetViews>
    <sheetView zoomScalePageLayoutView="0" workbookViewId="0" topLeftCell="A1">
      <selection activeCell="K45" sqref="K45"/>
    </sheetView>
  </sheetViews>
  <sheetFormatPr defaultColWidth="9.140625" defaultRowHeight="12.75"/>
  <cols>
    <col min="1" max="1" width="4.8515625" style="5" customWidth="1"/>
    <col min="2" max="2" width="31.28125" style="5" customWidth="1"/>
    <col min="3" max="3" width="9.28125" style="5" customWidth="1"/>
    <col min="4" max="4" width="8.57421875" style="5" bestFit="1" customWidth="1"/>
    <col min="5" max="5" width="11.140625" style="5" customWidth="1"/>
    <col min="6" max="6" width="14.57421875" style="5" customWidth="1"/>
    <col min="7" max="7" width="12.140625" style="5" customWidth="1"/>
    <col min="8" max="8" width="11.140625" style="5" customWidth="1"/>
    <col min="9" max="9" width="11.57421875" style="5" customWidth="1"/>
    <col min="10" max="10" width="9.57421875" style="5" customWidth="1"/>
    <col min="11" max="11" width="11.8515625" style="5" customWidth="1"/>
    <col min="12" max="12" width="11.00390625" style="5" customWidth="1"/>
    <col min="13" max="13" width="9.57421875" style="5" customWidth="1"/>
    <col min="14" max="14" width="11.8515625" style="5" customWidth="1"/>
    <col min="15" max="15" width="11.00390625" style="5" customWidth="1"/>
    <col min="16" max="16384" width="9.140625" style="5" customWidth="1"/>
  </cols>
  <sheetData>
    <row r="1" spans="1:15" s="31" customFormat="1" ht="13.5">
      <c r="A1" s="260"/>
      <c r="B1" s="3"/>
      <c r="C1" s="3"/>
      <c r="D1" s="107"/>
      <c r="E1" s="107"/>
      <c r="F1" s="3"/>
      <c r="G1" s="3"/>
      <c r="H1" s="30"/>
      <c r="I1" s="120" t="s">
        <v>146</v>
      </c>
      <c r="J1" s="3"/>
      <c r="K1" s="30"/>
      <c r="L1" s="30"/>
      <c r="M1" s="30"/>
      <c r="N1" s="30"/>
      <c r="O1" s="30"/>
    </row>
    <row r="2" spans="1:15" s="31" customFormat="1" ht="12.75" customHeight="1">
      <c r="A2" s="260"/>
      <c r="B2" s="3"/>
      <c r="C2" s="3"/>
      <c r="D2" s="107"/>
      <c r="E2" s="107"/>
      <c r="F2" s="3"/>
      <c r="G2" s="3"/>
      <c r="H2" s="613" t="s">
        <v>11</v>
      </c>
      <c r="I2" s="613"/>
      <c r="J2" s="613"/>
      <c r="K2" s="30"/>
      <c r="L2" s="30"/>
      <c r="M2" s="30"/>
      <c r="N2" s="30"/>
      <c r="O2" s="30"/>
    </row>
    <row r="3" spans="1:7" s="31" customFormat="1" ht="14.25" thickBot="1">
      <c r="A3" s="30"/>
      <c r="B3" s="22" t="s">
        <v>411</v>
      </c>
      <c r="C3" s="170"/>
      <c r="D3" s="170"/>
      <c r="E3" s="170"/>
      <c r="F3" s="9"/>
      <c r="G3" s="171"/>
    </row>
    <row r="4" spans="1:14" s="173" customFormat="1" ht="17.25" customHeight="1">
      <c r="A4" s="30"/>
      <c r="B4" s="603" t="s">
        <v>12</v>
      </c>
      <c r="C4" s="603"/>
      <c r="D4" s="603"/>
      <c r="E4" s="603"/>
      <c r="F4" s="172"/>
      <c r="G4" s="172"/>
      <c r="H4" s="39"/>
      <c r="I4" s="172"/>
      <c r="J4" s="172"/>
      <c r="K4" s="172"/>
      <c r="L4" s="172"/>
      <c r="M4" s="172"/>
      <c r="N4" s="172"/>
    </row>
    <row r="5" spans="1:15" s="176" customFormat="1" ht="25.5" customHeight="1">
      <c r="A5" s="641" t="s">
        <v>133</v>
      </c>
      <c r="B5" s="641"/>
      <c r="C5" s="641"/>
      <c r="D5" s="641"/>
      <c r="E5" s="641"/>
      <c r="F5" s="641"/>
      <c r="G5" s="641"/>
      <c r="H5" s="641"/>
      <c r="I5" s="641"/>
      <c r="J5" s="641"/>
      <c r="K5" s="641"/>
      <c r="L5" s="172"/>
      <c r="O5" s="172"/>
    </row>
    <row r="6" spans="2:15" s="100" customFormat="1" ht="13.5">
      <c r="B6" s="10"/>
      <c r="C6" s="10"/>
      <c r="D6" s="174"/>
      <c r="E6" s="174"/>
      <c r="F6" s="174"/>
      <c r="G6" s="174"/>
      <c r="H6" s="174"/>
      <c r="I6" s="174"/>
      <c r="J6" s="174"/>
      <c r="K6" s="174"/>
      <c r="L6" s="172"/>
      <c r="M6" s="174"/>
      <c r="N6" s="174"/>
      <c r="O6" s="172"/>
    </row>
    <row r="7" spans="1:15" s="176" customFormat="1" ht="14.25">
      <c r="A7" s="641" t="s">
        <v>207</v>
      </c>
      <c r="B7" s="641"/>
      <c r="C7" s="641"/>
      <c r="D7" s="641"/>
      <c r="E7" s="641"/>
      <c r="F7" s="641"/>
      <c r="G7" s="641"/>
      <c r="H7" s="641"/>
      <c r="I7" s="641"/>
      <c r="J7" s="641"/>
      <c r="K7" s="641"/>
      <c r="L7" s="172"/>
      <c r="O7" s="172"/>
    </row>
    <row r="8" spans="2:14" s="176" customFormat="1" ht="14.25">
      <c r="B8" s="36"/>
      <c r="C8" s="36"/>
      <c r="D8" s="177"/>
      <c r="E8" s="177"/>
      <c r="F8" s="177"/>
      <c r="G8" s="177"/>
      <c r="H8" s="177"/>
      <c r="I8" s="177"/>
      <c r="J8" s="177"/>
      <c r="K8" s="177"/>
      <c r="M8" s="177"/>
      <c r="N8" s="177"/>
    </row>
    <row r="9" spans="1:14" s="176" customFormat="1" ht="15" thickBot="1">
      <c r="A9" s="178"/>
      <c r="B9" s="36"/>
      <c r="C9" s="36"/>
      <c r="D9" s="177"/>
      <c r="E9" s="177"/>
      <c r="F9" s="177"/>
      <c r="G9" s="177"/>
      <c r="H9" s="177"/>
      <c r="I9" s="177"/>
      <c r="J9" s="177"/>
      <c r="K9" s="177"/>
      <c r="M9" s="177"/>
      <c r="N9" s="177"/>
    </row>
    <row r="10" spans="1:15" s="100" customFormat="1" ht="33.75" customHeight="1" thickBot="1">
      <c r="A10" s="190"/>
      <c r="B10" s="191"/>
      <c r="C10" s="192"/>
      <c r="D10" s="639" t="s">
        <v>372</v>
      </c>
      <c r="E10" s="639"/>
      <c r="F10" s="639"/>
      <c r="G10" s="639"/>
      <c r="H10" s="639"/>
      <c r="I10" s="640"/>
      <c r="J10" s="636" t="s">
        <v>373</v>
      </c>
      <c r="K10" s="637"/>
      <c r="L10" s="638"/>
      <c r="M10" s="636" t="s">
        <v>365</v>
      </c>
      <c r="N10" s="637"/>
      <c r="O10" s="638"/>
    </row>
    <row r="11" spans="1:15" s="198" customFormat="1" ht="82.5" customHeight="1">
      <c r="A11" s="193" t="s">
        <v>97</v>
      </c>
      <c r="B11" s="194" t="s">
        <v>157</v>
      </c>
      <c r="C11" s="195" t="s">
        <v>158</v>
      </c>
      <c r="D11" s="196" t="s">
        <v>153</v>
      </c>
      <c r="E11" s="197" t="s">
        <v>159</v>
      </c>
      <c r="F11" s="197" t="s">
        <v>160</v>
      </c>
      <c r="G11" s="197" t="s">
        <v>150</v>
      </c>
      <c r="H11" s="197" t="s">
        <v>151</v>
      </c>
      <c r="I11" s="197" t="s">
        <v>152</v>
      </c>
      <c r="J11" s="197" t="s">
        <v>153</v>
      </c>
      <c r="K11" s="197" t="s">
        <v>154</v>
      </c>
      <c r="L11" s="197" t="s">
        <v>155</v>
      </c>
      <c r="M11" s="197" t="s">
        <v>153</v>
      </c>
      <c r="N11" s="197" t="s">
        <v>154</v>
      </c>
      <c r="O11" s="197" t="s">
        <v>155</v>
      </c>
    </row>
    <row r="12" spans="1:15" s="199" customFormat="1" ht="13.5">
      <c r="A12" s="125">
        <v>1</v>
      </c>
      <c r="B12" s="125">
        <v>2</v>
      </c>
      <c r="C12" s="125">
        <v>3</v>
      </c>
      <c r="D12" s="125">
        <v>4</v>
      </c>
      <c r="E12" s="125">
        <v>5</v>
      </c>
      <c r="F12" s="125">
        <v>6</v>
      </c>
      <c r="G12" s="125">
        <v>7</v>
      </c>
      <c r="H12" s="125">
        <v>8</v>
      </c>
      <c r="I12" s="125">
        <v>9</v>
      </c>
      <c r="J12" s="125">
        <v>10</v>
      </c>
      <c r="K12" s="125">
        <v>11</v>
      </c>
      <c r="L12" s="125">
        <v>12</v>
      </c>
      <c r="M12" s="125">
        <v>13</v>
      </c>
      <c r="N12" s="125">
        <v>14</v>
      </c>
      <c r="O12" s="125">
        <v>15</v>
      </c>
    </row>
    <row r="13" spans="1:15" ht="57">
      <c r="A13" s="125"/>
      <c r="B13" s="200" t="s">
        <v>161</v>
      </c>
      <c r="C13" s="127"/>
      <c r="D13" s="127"/>
      <c r="E13" s="127"/>
      <c r="F13" s="127">
        <f>F15+F16+F17+F18+F19+F20+F21+F22+F23+F24+F25+F26+F27+F28+F29+F30+F31+F32+F33</f>
        <v>57841.41000000001</v>
      </c>
      <c r="G13" s="127">
        <f>G15+G16+G17+G18+G19+G20+G21+G22+G23+G24+G25+G26+G27+G28+G29+G30+G31+G32+G33</f>
        <v>44193.490000000005</v>
      </c>
      <c r="H13" s="127"/>
      <c r="I13" s="127">
        <f>I15+I16+I17+I18+I19+I20+I21+I22+I23+I24+I25+I26+I27+I28+I29+I30+I31+I32+I33</f>
        <v>13647.920000000002</v>
      </c>
      <c r="J13" s="127"/>
      <c r="K13" s="102"/>
      <c r="L13" s="102"/>
      <c r="M13" s="102"/>
      <c r="N13" s="102"/>
      <c r="O13" s="102"/>
    </row>
    <row r="14" spans="1:15" ht="13.5" customHeight="1">
      <c r="A14" s="125"/>
      <c r="B14" s="189" t="s">
        <v>156</v>
      </c>
      <c r="C14" s="189"/>
      <c r="D14" s="102"/>
      <c r="E14" s="102"/>
      <c r="F14" s="102"/>
      <c r="G14" s="102"/>
      <c r="H14" s="102"/>
      <c r="I14" s="102"/>
      <c r="J14" s="102"/>
      <c r="K14" s="102"/>
      <c r="L14" s="72">
        <f>+J14*K14</f>
        <v>0</v>
      </c>
      <c r="M14" s="102"/>
      <c r="N14" s="102"/>
      <c r="O14" s="72">
        <f>+M14*N14</f>
        <v>0</v>
      </c>
    </row>
    <row r="15" spans="1:15" ht="13.5" customHeight="1">
      <c r="A15" s="125"/>
      <c r="B15" s="353" t="s">
        <v>832</v>
      </c>
      <c r="C15" s="534" t="s">
        <v>879</v>
      </c>
      <c r="D15" s="537">
        <v>33</v>
      </c>
      <c r="E15" s="535"/>
      <c r="F15" s="436">
        <v>18168.72</v>
      </c>
      <c r="G15" s="68">
        <v>10215.12</v>
      </c>
      <c r="H15" s="536">
        <f>G15/F15*100</f>
        <v>56.223663527205005</v>
      </c>
      <c r="I15" s="72">
        <f>F15-G15</f>
        <v>7953.6</v>
      </c>
      <c r="J15" s="102"/>
      <c r="K15" s="102"/>
      <c r="L15" s="72">
        <f aca="true" t="shared" si="0" ref="L15:L29">+J15*K15</f>
        <v>0</v>
      </c>
      <c r="M15" s="102"/>
      <c r="N15" s="102"/>
      <c r="O15" s="72">
        <f aca="true" t="shared" si="1" ref="O15:O29">+M15*N15</f>
        <v>0</v>
      </c>
    </row>
    <row r="16" spans="1:15" ht="13.5" customHeight="1">
      <c r="A16" s="125"/>
      <c r="B16" s="353" t="s">
        <v>833</v>
      </c>
      <c r="C16" s="534" t="s">
        <v>879</v>
      </c>
      <c r="D16" s="537">
        <v>45</v>
      </c>
      <c r="E16" s="537"/>
      <c r="F16" s="436">
        <v>4601.26</v>
      </c>
      <c r="G16" s="436">
        <v>4183.19</v>
      </c>
      <c r="H16" s="543">
        <f>G16/F16*100</f>
        <v>90.91401051016459</v>
      </c>
      <c r="I16" s="72">
        <f aca="true" t="shared" si="2" ref="I16:I33">F16-G16</f>
        <v>418.0700000000006</v>
      </c>
      <c r="J16" s="102"/>
      <c r="K16" s="102"/>
      <c r="L16" s="72">
        <f t="shared" si="0"/>
        <v>0</v>
      </c>
      <c r="M16" s="102"/>
      <c r="N16" s="102"/>
      <c r="O16" s="72">
        <f t="shared" si="1"/>
        <v>0</v>
      </c>
    </row>
    <row r="17" spans="1:15" ht="13.5" customHeight="1">
      <c r="A17" s="125"/>
      <c r="B17" s="353" t="s">
        <v>834</v>
      </c>
      <c r="C17" s="534" t="s">
        <v>879</v>
      </c>
      <c r="D17" s="537">
        <v>38</v>
      </c>
      <c r="E17" s="537"/>
      <c r="F17" s="436">
        <v>11247.7</v>
      </c>
      <c r="G17" s="436">
        <v>11247.7</v>
      </c>
      <c r="H17" s="535">
        <f aca="true" t="shared" si="3" ref="H17:H33">G17/F17*100</f>
        <v>100</v>
      </c>
      <c r="I17" s="72">
        <f t="shared" si="2"/>
        <v>0</v>
      </c>
      <c r="J17" s="102"/>
      <c r="K17" s="102"/>
      <c r="L17" s="72">
        <f t="shared" si="0"/>
        <v>0</v>
      </c>
      <c r="M17" s="102"/>
      <c r="N17" s="102"/>
      <c r="O17" s="72">
        <f t="shared" si="1"/>
        <v>0</v>
      </c>
    </row>
    <row r="18" spans="1:15" ht="13.5" customHeight="1">
      <c r="A18" s="125"/>
      <c r="B18" s="353" t="s">
        <v>835</v>
      </c>
      <c r="C18" s="534" t="s">
        <v>879</v>
      </c>
      <c r="D18" s="537">
        <v>1</v>
      </c>
      <c r="E18" s="537">
        <v>2020</v>
      </c>
      <c r="F18" s="436">
        <v>188.04</v>
      </c>
      <c r="G18" s="436">
        <v>0</v>
      </c>
      <c r="H18" s="535">
        <f t="shared" si="3"/>
        <v>0</v>
      </c>
      <c r="I18" s="72">
        <f t="shared" si="2"/>
        <v>188.04</v>
      </c>
      <c r="J18" s="102"/>
      <c r="K18" s="102"/>
      <c r="L18" s="72">
        <f t="shared" si="0"/>
        <v>0</v>
      </c>
      <c r="M18" s="102"/>
      <c r="N18" s="102"/>
      <c r="O18" s="72">
        <f t="shared" si="1"/>
        <v>0</v>
      </c>
    </row>
    <row r="19" spans="1:15" ht="13.5" customHeight="1">
      <c r="A19" s="125"/>
      <c r="B19" s="353" t="s">
        <v>836</v>
      </c>
      <c r="C19" s="534" t="s">
        <v>879</v>
      </c>
      <c r="D19" s="537">
        <v>1</v>
      </c>
      <c r="E19" s="537">
        <v>2020</v>
      </c>
      <c r="F19" s="436">
        <v>43.5</v>
      </c>
      <c r="G19" s="436">
        <v>0</v>
      </c>
      <c r="H19" s="535"/>
      <c r="I19" s="72">
        <f t="shared" si="2"/>
        <v>43.5</v>
      </c>
      <c r="J19" s="102"/>
      <c r="K19" s="102"/>
      <c r="L19" s="72">
        <f t="shared" si="0"/>
        <v>0</v>
      </c>
      <c r="M19" s="102"/>
      <c r="N19" s="102"/>
      <c r="O19" s="72">
        <f t="shared" si="1"/>
        <v>0</v>
      </c>
    </row>
    <row r="20" spans="1:15" ht="13.5" customHeight="1">
      <c r="A20" s="125"/>
      <c r="B20" s="353" t="s">
        <v>837</v>
      </c>
      <c r="C20" s="534" t="s">
        <v>879</v>
      </c>
      <c r="D20" s="537">
        <v>4</v>
      </c>
      <c r="E20" s="537"/>
      <c r="F20" s="436">
        <v>5664.7</v>
      </c>
      <c r="G20" s="436">
        <v>5664.7</v>
      </c>
      <c r="H20" s="535">
        <f t="shared" si="3"/>
        <v>100</v>
      </c>
      <c r="I20" s="72">
        <f t="shared" si="2"/>
        <v>0</v>
      </c>
      <c r="J20" s="102"/>
      <c r="K20" s="102"/>
      <c r="L20" s="72">
        <f t="shared" si="0"/>
        <v>0</v>
      </c>
      <c r="M20" s="102"/>
      <c r="N20" s="102"/>
      <c r="O20" s="72">
        <f t="shared" si="1"/>
        <v>0</v>
      </c>
    </row>
    <row r="21" spans="1:15" ht="13.5" customHeight="1">
      <c r="A21" s="125"/>
      <c r="B21" s="353" t="s">
        <v>838</v>
      </c>
      <c r="C21" s="534" t="s">
        <v>879</v>
      </c>
      <c r="D21" s="537">
        <v>4</v>
      </c>
      <c r="E21" s="537"/>
      <c r="F21" s="436">
        <v>2005.6</v>
      </c>
      <c r="G21" s="436">
        <v>2005.6</v>
      </c>
      <c r="H21" s="536">
        <f t="shared" si="3"/>
        <v>100</v>
      </c>
      <c r="I21" s="72">
        <f t="shared" si="2"/>
        <v>0</v>
      </c>
      <c r="J21" s="102"/>
      <c r="K21" s="102"/>
      <c r="L21" s="72">
        <f t="shared" si="0"/>
        <v>0</v>
      </c>
      <c r="M21" s="102"/>
      <c r="N21" s="102"/>
      <c r="O21" s="72">
        <f t="shared" si="1"/>
        <v>0</v>
      </c>
    </row>
    <row r="22" spans="1:15" ht="13.5" customHeight="1">
      <c r="A22" s="125"/>
      <c r="B22" s="456" t="s">
        <v>839</v>
      </c>
      <c r="C22" s="534" t="s">
        <v>879</v>
      </c>
      <c r="D22" s="537">
        <v>9</v>
      </c>
      <c r="E22" s="537"/>
      <c r="F22" s="436">
        <v>1912.05</v>
      </c>
      <c r="G22" s="436">
        <v>1449.4</v>
      </c>
      <c r="H22" s="536">
        <f t="shared" si="3"/>
        <v>75.80345702256741</v>
      </c>
      <c r="I22" s="72">
        <f t="shared" si="2"/>
        <v>462.64999999999986</v>
      </c>
      <c r="J22" s="102"/>
      <c r="K22" s="102"/>
      <c r="L22" s="72">
        <f t="shared" si="0"/>
        <v>0</v>
      </c>
      <c r="M22" s="102"/>
      <c r="N22" s="102"/>
      <c r="O22" s="72">
        <f t="shared" si="1"/>
        <v>0</v>
      </c>
    </row>
    <row r="23" spans="1:15" ht="13.5" customHeight="1">
      <c r="A23" s="125"/>
      <c r="B23" s="456" t="s">
        <v>840</v>
      </c>
      <c r="C23" s="534" t="s">
        <v>879</v>
      </c>
      <c r="D23" s="537">
        <v>1</v>
      </c>
      <c r="E23" s="537">
        <v>2020</v>
      </c>
      <c r="F23" s="544">
        <v>429.6</v>
      </c>
      <c r="G23" s="436">
        <v>0</v>
      </c>
      <c r="H23" s="536">
        <f t="shared" si="3"/>
        <v>0</v>
      </c>
      <c r="I23" s="72">
        <f t="shared" si="2"/>
        <v>429.6</v>
      </c>
      <c r="J23" s="102"/>
      <c r="K23" s="102"/>
      <c r="L23" s="72">
        <f t="shared" si="0"/>
        <v>0</v>
      </c>
      <c r="M23" s="102"/>
      <c r="N23" s="102"/>
      <c r="O23" s="72">
        <f t="shared" si="1"/>
        <v>0</v>
      </c>
    </row>
    <row r="24" spans="1:15" ht="13.5" customHeight="1">
      <c r="A24" s="125"/>
      <c r="B24" s="456" t="s">
        <v>841</v>
      </c>
      <c r="C24" s="534" t="s">
        <v>879</v>
      </c>
      <c r="D24" s="537">
        <v>31</v>
      </c>
      <c r="E24" s="537"/>
      <c r="F24" s="544">
        <v>2471.46</v>
      </c>
      <c r="G24" s="436">
        <v>1878.68</v>
      </c>
      <c r="H24" s="536">
        <f t="shared" si="3"/>
        <v>76.01498709264969</v>
      </c>
      <c r="I24" s="72">
        <f t="shared" si="2"/>
        <v>592.78</v>
      </c>
      <c r="J24" s="102"/>
      <c r="K24" s="102"/>
      <c r="L24" s="72">
        <f t="shared" si="0"/>
        <v>0</v>
      </c>
      <c r="M24" s="102"/>
      <c r="N24" s="102"/>
      <c r="O24" s="72">
        <f t="shared" si="1"/>
        <v>0</v>
      </c>
    </row>
    <row r="25" spans="1:15" ht="13.5" customHeight="1">
      <c r="A25" s="125"/>
      <c r="B25" s="456" t="s">
        <v>842</v>
      </c>
      <c r="C25" s="534" t="s">
        <v>879</v>
      </c>
      <c r="D25" s="537">
        <v>1</v>
      </c>
      <c r="E25" s="537">
        <v>2020</v>
      </c>
      <c r="F25" s="544">
        <v>144.9</v>
      </c>
      <c r="G25" s="436">
        <v>0</v>
      </c>
      <c r="H25" s="536">
        <f t="shared" si="3"/>
        <v>0</v>
      </c>
      <c r="I25" s="72">
        <f t="shared" si="2"/>
        <v>144.9</v>
      </c>
      <c r="J25" s="102"/>
      <c r="K25" s="102"/>
      <c r="L25" s="72">
        <f t="shared" si="0"/>
        <v>0</v>
      </c>
      <c r="M25" s="102"/>
      <c r="N25" s="102"/>
      <c r="O25" s="72">
        <f t="shared" si="1"/>
        <v>0</v>
      </c>
    </row>
    <row r="26" spans="1:15" ht="13.5" customHeight="1">
      <c r="A26" s="125"/>
      <c r="B26" s="353" t="s">
        <v>843</v>
      </c>
      <c r="C26" s="534" t="s">
        <v>879</v>
      </c>
      <c r="D26" s="537">
        <v>5</v>
      </c>
      <c r="E26" s="537"/>
      <c r="F26" s="436">
        <v>1938.4</v>
      </c>
      <c r="G26" s="436">
        <v>1938.4</v>
      </c>
      <c r="H26" s="535">
        <f t="shared" si="3"/>
        <v>100</v>
      </c>
      <c r="I26" s="72">
        <f t="shared" si="2"/>
        <v>0</v>
      </c>
      <c r="J26" s="102"/>
      <c r="K26" s="102"/>
      <c r="L26" s="72">
        <f t="shared" si="0"/>
        <v>0</v>
      </c>
      <c r="M26" s="102"/>
      <c r="N26" s="102"/>
      <c r="O26" s="72">
        <f t="shared" si="1"/>
        <v>0</v>
      </c>
    </row>
    <row r="27" spans="1:15" ht="13.5" customHeight="1">
      <c r="A27" s="125"/>
      <c r="B27" s="457" t="s">
        <v>844</v>
      </c>
      <c r="C27" s="534" t="s">
        <v>879</v>
      </c>
      <c r="D27" s="537">
        <v>1</v>
      </c>
      <c r="E27" s="537">
        <v>2020</v>
      </c>
      <c r="F27" s="436">
        <v>66.5</v>
      </c>
      <c r="G27" s="436">
        <v>0</v>
      </c>
      <c r="H27" s="535">
        <f t="shared" si="3"/>
        <v>0</v>
      </c>
      <c r="I27" s="72">
        <f t="shared" si="2"/>
        <v>66.5</v>
      </c>
      <c r="J27" s="102"/>
      <c r="K27" s="102"/>
      <c r="L27" s="72">
        <f t="shared" si="0"/>
        <v>0</v>
      </c>
      <c r="M27" s="102"/>
      <c r="N27" s="102"/>
      <c r="O27" s="72">
        <f t="shared" si="1"/>
        <v>0</v>
      </c>
    </row>
    <row r="28" spans="1:15" ht="13.5" customHeight="1">
      <c r="A28" s="125"/>
      <c r="B28" s="353" t="s">
        <v>845</v>
      </c>
      <c r="C28" s="534" t="s">
        <v>879</v>
      </c>
      <c r="D28" s="537">
        <v>1</v>
      </c>
      <c r="E28" s="537">
        <v>2019</v>
      </c>
      <c r="F28" s="544">
        <v>30</v>
      </c>
      <c r="G28" s="436">
        <v>0</v>
      </c>
      <c r="H28" s="535">
        <f t="shared" si="3"/>
        <v>0</v>
      </c>
      <c r="I28" s="72">
        <f t="shared" si="2"/>
        <v>30</v>
      </c>
      <c r="J28" s="102"/>
      <c r="K28" s="102"/>
      <c r="L28" s="72">
        <f t="shared" si="0"/>
        <v>0</v>
      </c>
      <c r="M28" s="102"/>
      <c r="N28" s="102"/>
      <c r="O28" s="72">
        <f t="shared" si="1"/>
        <v>0</v>
      </c>
    </row>
    <row r="29" spans="1:15" ht="13.5" customHeight="1">
      <c r="A29" s="125"/>
      <c r="B29" s="458" t="s">
        <v>846</v>
      </c>
      <c r="C29" s="534" t="s">
        <v>879</v>
      </c>
      <c r="D29" s="537"/>
      <c r="E29" s="553"/>
      <c r="F29" s="551">
        <v>5018.29</v>
      </c>
      <c r="G29" s="436">
        <v>5018.29</v>
      </c>
      <c r="H29" s="536">
        <f t="shared" si="3"/>
        <v>100</v>
      </c>
      <c r="I29" s="72">
        <f t="shared" si="2"/>
        <v>0</v>
      </c>
      <c r="J29" s="102"/>
      <c r="K29" s="102"/>
      <c r="L29" s="72">
        <f t="shared" si="0"/>
        <v>0</v>
      </c>
      <c r="M29" s="102"/>
      <c r="N29" s="102"/>
      <c r="O29" s="72">
        <f t="shared" si="1"/>
        <v>0</v>
      </c>
    </row>
    <row r="30" spans="1:15" ht="27">
      <c r="A30" s="125"/>
      <c r="B30" s="458" t="s">
        <v>847</v>
      </c>
      <c r="C30" s="534" t="s">
        <v>879</v>
      </c>
      <c r="D30" s="537">
        <v>1</v>
      </c>
      <c r="E30" s="553"/>
      <c r="F30" s="551">
        <v>228.72</v>
      </c>
      <c r="G30" s="436">
        <v>205.84</v>
      </c>
      <c r="H30" s="536">
        <f t="shared" si="3"/>
        <v>89.99650227352221</v>
      </c>
      <c r="I30" s="72">
        <f t="shared" si="2"/>
        <v>22.879999999999995</v>
      </c>
      <c r="J30" s="102"/>
      <c r="K30" s="102"/>
      <c r="L30" s="72">
        <f aca="true" t="shared" si="4" ref="L30:L66">+J30*K30</f>
        <v>0</v>
      </c>
      <c r="M30" s="102"/>
      <c r="N30" s="102"/>
      <c r="O30" s="72">
        <f aca="true" t="shared" si="5" ref="O30:O66">+M30*N30</f>
        <v>0</v>
      </c>
    </row>
    <row r="31" spans="1:15" ht="40.5">
      <c r="A31" s="125"/>
      <c r="B31" s="458" t="s">
        <v>848</v>
      </c>
      <c r="C31" s="534" t="s">
        <v>879</v>
      </c>
      <c r="D31" s="545">
        <v>1</v>
      </c>
      <c r="E31" s="553"/>
      <c r="F31" s="552">
        <v>386.57</v>
      </c>
      <c r="G31" s="546">
        <v>386.57</v>
      </c>
      <c r="H31" s="547">
        <f t="shared" si="3"/>
        <v>100</v>
      </c>
      <c r="I31" s="72">
        <f t="shared" si="2"/>
        <v>0</v>
      </c>
      <c r="J31" s="102"/>
      <c r="K31" s="102"/>
      <c r="L31" s="72">
        <f t="shared" si="4"/>
        <v>0</v>
      </c>
      <c r="M31" s="102"/>
      <c r="N31" s="102"/>
      <c r="O31" s="72">
        <f t="shared" si="5"/>
        <v>0</v>
      </c>
    </row>
    <row r="32" spans="1:15" ht="27">
      <c r="A32" s="125"/>
      <c r="B32" s="459" t="s">
        <v>849</v>
      </c>
      <c r="C32" s="534" t="s">
        <v>879</v>
      </c>
      <c r="D32" s="548" t="s">
        <v>880</v>
      </c>
      <c r="E32" s="546">
        <v>2020</v>
      </c>
      <c r="F32" s="549">
        <v>1877</v>
      </c>
      <c r="G32" s="549">
        <v>0</v>
      </c>
      <c r="H32" s="547">
        <f t="shared" si="3"/>
        <v>0</v>
      </c>
      <c r="I32" s="72">
        <f t="shared" si="2"/>
        <v>1877</v>
      </c>
      <c r="J32" s="102"/>
      <c r="K32" s="102"/>
      <c r="L32" s="72">
        <f t="shared" si="4"/>
        <v>0</v>
      </c>
      <c r="M32" s="102"/>
      <c r="N32" s="102"/>
      <c r="O32" s="72">
        <f t="shared" si="5"/>
        <v>0</v>
      </c>
    </row>
    <row r="33" spans="1:15" ht="13.5">
      <c r="A33" s="125"/>
      <c r="B33" s="460" t="s">
        <v>850</v>
      </c>
      <c r="C33" s="534" t="s">
        <v>879</v>
      </c>
      <c r="D33" s="550"/>
      <c r="E33" s="68">
        <v>2020</v>
      </c>
      <c r="F33" s="68">
        <v>1418.4</v>
      </c>
      <c r="G33" s="549">
        <v>0</v>
      </c>
      <c r="H33" s="547">
        <f t="shared" si="3"/>
        <v>0</v>
      </c>
      <c r="I33" s="72">
        <f t="shared" si="2"/>
        <v>1418.4</v>
      </c>
      <c r="J33" s="102"/>
      <c r="K33" s="102"/>
      <c r="L33" s="72">
        <f t="shared" si="4"/>
        <v>0</v>
      </c>
      <c r="M33" s="102"/>
      <c r="N33" s="102"/>
      <c r="O33" s="72">
        <f t="shared" si="5"/>
        <v>0</v>
      </c>
    </row>
    <row r="34" spans="1:15" ht="13.5">
      <c r="A34" s="125"/>
      <c r="B34" s="102"/>
      <c r="C34" s="102"/>
      <c r="D34" s="102"/>
      <c r="E34" s="102"/>
      <c r="F34" s="102"/>
      <c r="G34" s="102"/>
      <c r="H34" s="102"/>
      <c r="I34" s="102"/>
      <c r="J34" s="102"/>
      <c r="K34" s="102"/>
      <c r="L34" s="72">
        <f t="shared" si="4"/>
        <v>0</v>
      </c>
      <c r="M34" s="102"/>
      <c r="N34" s="102"/>
      <c r="O34" s="72">
        <f t="shared" si="5"/>
        <v>0</v>
      </c>
    </row>
    <row r="35" spans="1:15" ht="14.25">
      <c r="A35" s="125"/>
      <c r="B35" s="188" t="s">
        <v>162</v>
      </c>
      <c r="C35" s="200"/>
      <c r="D35" s="102"/>
      <c r="E35" s="102"/>
      <c r="F35" s="103">
        <f>F37+F38+F39+F40+F41+F42+F43+F44+F45+F46+F47+F48+F49+F50+F51+F52+F53+F54+F55+F56+F57+F58+F59+F60+F61+F62+F63+F64</f>
        <v>154533.38000000003</v>
      </c>
      <c r="G35" s="103">
        <f>G37+G38+G39+G40+G41+G42+G43+G44+G45+G46+G47+G48+G49+G50+G51+G52+G53+G54+G55+G56+G57+G58+G59+G60+G61+G62+G63+G64</f>
        <v>4160.57</v>
      </c>
      <c r="H35" s="103"/>
      <c r="I35" s="103">
        <f>I37+I38+I39+I40+I41+I42+I43+I44+I45+I46+I47+I48+I49+I50+I51+I52+I53+I54+I55+I56+I57+I58+I59+I60+I61+I62+I63+I64</f>
        <v>150372.81000000003</v>
      </c>
      <c r="J35" s="102"/>
      <c r="K35" s="102"/>
      <c r="L35" s="72">
        <f t="shared" si="4"/>
        <v>0</v>
      </c>
      <c r="M35" s="102"/>
      <c r="N35" s="102"/>
      <c r="O35" s="72">
        <f t="shared" si="5"/>
        <v>0</v>
      </c>
    </row>
    <row r="36" spans="1:15" ht="13.5" customHeight="1">
      <c r="A36" s="125"/>
      <c r="B36" s="189" t="s">
        <v>156</v>
      </c>
      <c r="C36" s="189"/>
      <c r="D36" s="102"/>
      <c r="E36" s="102"/>
      <c r="F36" s="102"/>
      <c r="G36" s="102"/>
      <c r="H36" s="102"/>
      <c r="I36" s="102"/>
      <c r="J36" s="102"/>
      <c r="K36" s="102"/>
      <c r="L36" s="72">
        <f t="shared" si="4"/>
        <v>0</v>
      </c>
      <c r="M36" s="102"/>
      <c r="N36" s="102"/>
      <c r="O36" s="72">
        <f t="shared" si="5"/>
        <v>0</v>
      </c>
    </row>
    <row r="37" spans="1:15" ht="13.5" customHeight="1">
      <c r="A37" s="125"/>
      <c r="B37" s="461" t="s">
        <v>851</v>
      </c>
      <c r="C37" s="534" t="s">
        <v>879</v>
      </c>
      <c r="D37" s="535">
        <v>8</v>
      </c>
      <c r="E37" s="535"/>
      <c r="F37" s="68">
        <v>752.63</v>
      </c>
      <c r="G37" s="68">
        <v>105.88</v>
      </c>
      <c r="H37" s="536">
        <f aca="true" t="shared" si="6" ref="H37:H64">G37/F37*100</f>
        <v>14.068001541261973</v>
      </c>
      <c r="I37" s="72">
        <f aca="true" t="shared" si="7" ref="I37:I64">F37-G37</f>
        <v>646.75</v>
      </c>
      <c r="J37" s="102"/>
      <c r="K37" s="102"/>
      <c r="L37" s="72">
        <f t="shared" si="4"/>
        <v>0</v>
      </c>
      <c r="M37" s="102"/>
      <c r="N37" s="102"/>
      <c r="O37" s="72">
        <f t="shared" si="5"/>
        <v>0</v>
      </c>
    </row>
    <row r="38" spans="1:15" ht="13.5" customHeight="1">
      <c r="A38" s="125"/>
      <c r="B38" s="461" t="s">
        <v>852</v>
      </c>
      <c r="C38" s="534" t="s">
        <v>879</v>
      </c>
      <c r="D38" s="535">
        <v>4</v>
      </c>
      <c r="E38" s="535"/>
      <c r="F38" s="68">
        <v>245.32</v>
      </c>
      <c r="G38" s="68">
        <v>245.32</v>
      </c>
      <c r="H38" s="536">
        <f t="shared" si="6"/>
        <v>100</v>
      </c>
      <c r="I38" s="72">
        <f t="shared" si="7"/>
        <v>0</v>
      </c>
      <c r="J38" s="102"/>
      <c r="K38" s="102"/>
      <c r="L38" s="72">
        <f t="shared" si="4"/>
        <v>0</v>
      </c>
      <c r="M38" s="102"/>
      <c r="N38" s="102"/>
      <c r="O38" s="72">
        <f t="shared" si="5"/>
        <v>0</v>
      </c>
    </row>
    <row r="39" spans="1:15" ht="13.5" customHeight="1">
      <c r="A39" s="125"/>
      <c r="B39" s="461" t="s">
        <v>853</v>
      </c>
      <c r="C39" s="534" t="s">
        <v>879</v>
      </c>
      <c r="D39" s="535">
        <v>106</v>
      </c>
      <c r="E39" s="535"/>
      <c r="F39" s="68">
        <v>2771.58</v>
      </c>
      <c r="G39" s="68">
        <v>2042.58</v>
      </c>
      <c r="H39" s="536">
        <f t="shared" si="6"/>
        <v>73.69731344576019</v>
      </c>
      <c r="I39" s="72">
        <f t="shared" si="7"/>
        <v>729</v>
      </c>
      <c r="J39" s="102"/>
      <c r="K39" s="102"/>
      <c r="L39" s="72">
        <f t="shared" si="4"/>
        <v>0</v>
      </c>
      <c r="M39" s="102"/>
      <c r="N39" s="102"/>
      <c r="O39" s="72">
        <f t="shared" si="5"/>
        <v>0</v>
      </c>
    </row>
    <row r="40" spans="1:15" ht="13.5" customHeight="1">
      <c r="A40" s="125"/>
      <c r="B40" s="457" t="s">
        <v>854</v>
      </c>
      <c r="C40" s="534" t="s">
        <v>879</v>
      </c>
      <c r="D40" s="537">
        <v>3</v>
      </c>
      <c r="E40" s="535"/>
      <c r="F40" s="68">
        <v>68.88</v>
      </c>
      <c r="G40" s="68">
        <v>68.88</v>
      </c>
      <c r="H40" s="536">
        <f t="shared" si="6"/>
        <v>100</v>
      </c>
      <c r="I40" s="72">
        <f t="shared" si="7"/>
        <v>0</v>
      </c>
      <c r="J40" s="102"/>
      <c r="K40" s="102"/>
      <c r="L40" s="72">
        <f t="shared" si="4"/>
        <v>0</v>
      </c>
      <c r="M40" s="102"/>
      <c r="N40" s="102"/>
      <c r="O40" s="72">
        <f t="shared" si="5"/>
        <v>0</v>
      </c>
    </row>
    <row r="41" spans="1:15" ht="13.5" customHeight="1">
      <c r="A41" s="125"/>
      <c r="B41" s="462" t="s">
        <v>855</v>
      </c>
      <c r="C41" s="534" t="s">
        <v>879</v>
      </c>
      <c r="D41" s="538">
        <v>1</v>
      </c>
      <c r="E41" s="535">
        <v>2020</v>
      </c>
      <c r="F41" s="539">
        <v>104.79</v>
      </c>
      <c r="G41" s="539"/>
      <c r="H41" s="536">
        <f t="shared" si="6"/>
        <v>0</v>
      </c>
      <c r="I41" s="72">
        <f t="shared" si="7"/>
        <v>104.79</v>
      </c>
      <c r="J41" s="102"/>
      <c r="K41" s="102"/>
      <c r="L41" s="72">
        <f t="shared" si="4"/>
        <v>0</v>
      </c>
      <c r="M41" s="102"/>
      <c r="N41" s="102"/>
      <c r="O41" s="72">
        <f t="shared" si="5"/>
        <v>0</v>
      </c>
    </row>
    <row r="42" spans="1:15" ht="13.5" customHeight="1">
      <c r="A42" s="125"/>
      <c r="B42" s="462" t="s">
        <v>856</v>
      </c>
      <c r="C42" s="534" t="s">
        <v>879</v>
      </c>
      <c r="D42" s="538">
        <v>4</v>
      </c>
      <c r="E42" s="535">
        <v>2020</v>
      </c>
      <c r="F42" s="540">
        <v>72</v>
      </c>
      <c r="G42" s="539"/>
      <c r="H42" s="536">
        <f t="shared" si="6"/>
        <v>0</v>
      </c>
      <c r="I42" s="72">
        <f t="shared" si="7"/>
        <v>72</v>
      </c>
      <c r="J42" s="102"/>
      <c r="K42" s="102"/>
      <c r="L42" s="72">
        <f t="shared" si="4"/>
        <v>0</v>
      </c>
      <c r="M42" s="102"/>
      <c r="N42" s="102"/>
      <c r="O42" s="72">
        <f t="shared" si="5"/>
        <v>0</v>
      </c>
    </row>
    <row r="43" spans="1:15" ht="13.5" customHeight="1">
      <c r="A43" s="125"/>
      <c r="B43" s="462" t="s">
        <v>857</v>
      </c>
      <c r="C43" s="534" t="s">
        <v>879</v>
      </c>
      <c r="D43" s="538">
        <v>5</v>
      </c>
      <c r="E43" s="535">
        <v>2020</v>
      </c>
      <c r="F43" s="539">
        <v>310.99</v>
      </c>
      <c r="G43" s="539"/>
      <c r="H43" s="536">
        <f t="shared" si="6"/>
        <v>0</v>
      </c>
      <c r="I43" s="72">
        <f t="shared" si="7"/>
        <v>310.99</v>
      </c>
      <c r="J43" s="102"/>
      <c r="K43" s="102"/>
      <c r="L43" s="72">
        <f t="shared" si="4"/>
        <v>0</v>
      </c>
      <c r="M43" s="102"/>
      <c r="N43" s="102"/>
      <c r="O43" s="72">
        <f t="shared" si="5"/>
        <v>0</v>
      </c>
    </row>
    <row r="44" spans="1:15" ht="13.5" customHeight="1">
      <c r="A44" s="125"/>
      <c r="B44" s="462" t="s">
        <v>858</v>
      </c>
      <c r="C44" s="534" t="s">
        <v>879</v>
      </c>
      <c r="D44" s="538">
        <v>1</v>
      </c>
      <c r="E44" s="535">
        <v>2020</v>
      </c>
      <c r="F44" s="539">
        <v>10.14</v>
      </c>
      <c r="G44" s="539"/>
      <c r="H44" s="536">
        <f t="shared" si="6"/>
        <v>0</v>
      </c>
      <c r="I44" s="72">
        <f t="shared" si="7"/>
        <v>10.14</v>
      </c>
      <c r="J44" s="102"/>
      <c r="K44" s="102"/>
      <c r="L44" s="72">
        <f t="shared" si="4"/>
        <v>0</v>
      </c>
      <c r="M44" s="102"/>
      <c r="N44" s="102"/>
      <c r="O44" s="72">
        <f t="shared" si="5"/>
        <v>0</v>
      </c>
    </row>
    <row r="45" spans="1:15" ht="13.5" customHeight="1">
      <c r="A45" s="125"/>
      <c r="B45" s="462" t="s">
        <v>859</v>
      </c>
      <c r="C45" s="534" t="s">
        <v>879</v>
      </c>
      <c r="D45" s="538">
        <v>49</v>
      </c>
      <c r="E45" s="541"/>
      <c r="F45" s="539">
        <v>1318.88</v>
      </c>
      <c r="G45" s="539">
        <v>446.63</v>
      </c>
      <c r="H45" s="536">
        <f t="shared" si="6"/>
        <v>33.86433943952444</v>
      </c>
      <c r="I45" s="72">
        <f t="shared" si="7"/>
        <v>872.2500000000001</v>
      </c>
      <c r="J45" s="102"/>
      <c r="K45" s="102"/>
      <c r="L45" s="72">
        <f t="shared" si="4"/>
        <v>0</v>
      </c>
      <c r="M45" s="102"/>
      <c r="N45" s="102"/>
      <c r="O45" s="72">
        <f t="shared" si="5"/>
        <v>0</v>
      </c>
    </row>
    <row r="46" spans="1:15" ht="13.5" customHeight="1">
      <c r="A46" s="125"/>
      <c r="B46" s="457" t="s">
        <v>860</v>
      </c>
      <c r="C46" s="534" t="s">
        <v>879</v>
      </c>
      <c r="D46" s="538">
        <v>5</v>
      </c>
      <c r="E46" s="541">
        <v>2020</v>
      </c>
      <c r="F46" s="539">
        <v>121.95</v>
      </c>
      <c r="G46" s="539"/>
      <c r="H46" s="536">
        <f t="shared" si="6"/>
        <v>0</v>
      </c>
      <c r="I46" s="72">
        <f t="shared" si="7"/>
        <v>121.95</v>
      </c>
      <c r="J46" s="102"/>
      <c r="K46" s="102"/>
      <c r="L46" s="72">
        <f t="shared" si="4"/>
        <v>0</v>
      </c>
      <c r="M46" s="102"/>
      <c r="N46" s="102"/>
      <c r="O46" s="72">
        <f t="shared" si="5"/>
        <v>0</v>
      </c>
    </row>
    <row r="47" spans="1:15" ht="13.5" customHeight="1">
      <c r="A47" s="125"/>
      <c r="B47" s="457" t="s">
        <v>861</v>
      </c>
      <c r="C47" s="534" t="s">
        <v>879</v>
      </c>
      <c r="D47" s="538">
        <v>1</v>
      </c>
      <c r="E47" s="541">
        <v>2020</v>
      </c>
      <c r="F47" s="540">
        <v>205</v>
      </c>
      <c r="G47" s="539"/>
      <c r="H47" s="536">
        <f t="shared" si="6"/>
        <v>0</v>
      </c>
      <c r="I47" s="72">
        <f t="shared" si="7"/>
        <v>205</v>
      </c>
      <c r="J47" s="102"/>
      <c r="K47" s="102"/>
      <c r="L47" s="72">
        <f t="shared" si="4"/>
        <v>0</v>
      </c>
      <c r="M47" s="102"/>
      <c r="N47" s="102"/>
      <c r="O47" s="72">
        <f t="shared" si="5"/>
        <v>0</v>
      </c>
    </row>
    <row r="48" spans="1:15" ht="13.5" customHeight="1">
      <c r="A48" s="125"/>
      <c r="B48" s="457" t="s">
        <v>862</v>
      </c>
      <c r="C48" s="534" t="s">
        <v>879</v>
      </c>
      <c r="D48" s="538">
        <v>4</v>
      </c>
      <c r="E48" s="541">
        <v>2020</v>
      </c>
      <c r="F48" s="539">
        <v>118.26</v>
      </c>
      <c r="G48" s="539"/>
      <c r="H48" s="536">
        <f t="shared" si="6"/>
        <v>0</v>
      </c>
      <c r="I48" s="72">
        <f t="shared" si="7"/>
        <v>118.26</v>
      </c>
      <c r="J48" s="102"/>
      <c r="K48" s="102"/>
      <c r="L48" s="72">
        <f t="shared" si="4"/>
        <v>0</v>
      </c>
      <c r="M48" s="102"/>
      <c r="N48" s="102"/>
      <c r="O48" s="72">
        <f t="shared" si="5"/>
        <v>0</v>
      </c>
    </row>
    <row r="49" spans="1:15" ht="13.5" customHeight="1">
      <c r="A49" s="125"/>
      <c r="B49" s="457" t="s">
        <v>863</v>
      </c>
      <c r="C49" s="534" t="s">
        <v>879</v>
      </c>
      <c r="D49" s="538">
        <v>1</v>
      </c>
      <c r="E49" s="541">
        <v>2020</v>
      </c>
      <c r="F49" s="540">
        <v>330</v>
      </c>
      <c r="G49" s="539"/>
      <c r="H49" s="536">
        <f t="shared" si="6"/>
        <v>0</v>
      </c>
      <c r="I49" s="72">
        <f t="shared" si="7"/>
        <v>330</v>
      </c>
      <c r="J49" s="102"/>
      <c r="K49" s="102"/>
      <c r="L49" s="72">
        <f t="shared" si="4"/>
        <v>0</v>
      </c>
      <c r="M49" s="102"/>
      <c r="N49" s="102"/>
      <c r="O49" s="72">
        <f t="shared" si="5"/>
        <v>0</v>
      </c>
    </row>
    <row r="50" spans="1:15" ht="13.5" customHeight="1">
      <c r="A50" s="125"/>
      <c r="B50" s="461" t="s">
        <v>864</v>
      </c>
      <c r="C50" s="534" t="s">
        <v>879</v>
      </c>
      <c r="D50" s="535">
        <v>2</v>
      </c>
      <c r="E50" s="535"/>
      <c r="F50" s="68">
        <v>114.2</v>
      </c>
      <c r="G50" s="68">
        <v>44.6</v>
      </c>
      <c r="H50" s="536">
        <f t="shared" si="6"/>
        <v>39.05429071803853</v>
      </c>
      <c r="I50" s="72">
        <f t="shared" si="7"/>
        <v>69.6</v>
      </c>
      <c r="J50" s="102"/>
      <c r="K50" s="102"/>
      <c r="L50" s="72">
        <f t="shared" si="4"/>
        <v>0</v>
      </c>
      <c r="M50" s="102"/>
      <c r="N50" s="102"/>
      <c r="O50" s="72">
        <f t="shared" si="5"/>
        <v>0</v>
      </c>
    </row>
    <row r="51" spans="1:15" ht="13.5" customHeight="1">
      <c r="A51" s="125"/>
      <c r="B51" s="461" t="s">
        <v>865</v>
      </c>
      <c r="C51" s="534" t="s">
        <v>879</v>
      </c>
      <c r="D51" s="535">
        <v>2</v>
      </c>
      <c r="E51" s="541">
        <v>2020</v>
      </c>
      <c r="F51" s="542">
        <v>249.6</v>
      </c>
      <c r="G51" s="542"/>
      <c r="H51" s="536">
        <f t="shared" si="6"/>
        <v>0</v>
      </c>
      <c r="I51" s="72">
        <f t="shared" si="7"/>
        <v>249.6</v>
      </c>
      <c r="J51" s="102"/>
      <c r="K51" s="102"/>
      <c r="L51" s="72">
        <f t="shared" si="4"/>
        <v>0</v>
      </c>
      <c r="M51" s="102"/>
      <c r="N51" s="102"/>
      <c r="O51" s="72">
        <f t="shared" si="5"/>
        <v>0</v>
      </c>
    </row>
    <row r="52" spans="1:15" ht="13.5" customHeight="1">
      <c r="A52" s="125"/>
      <c r="B52" s="463" t="s">
        <v>866</v>
      </c>
      <c r="C52" s="534" t="s">
        <v>879</v>
      </c>
      <c r="D52" s="535">
        <v>53</v>
      </c>
      <c r="E52" s="541">
        <v>2020</v>
      </c>
      <c r="F52" s="542">
        <v>397.41</v>
      </c>
      <c r="G52" s="542"/>
      <c r="H52" s="536">
        <f t="shared" si="6"/>
        <v>0</v>
      </c>
      <c r="I52" s="72">
        <f t="shared" si="7"/>
        <v>397.41</v>
      </c>
      <c r="J52" s="102"/>
      <c r="K52" s="102"/>
      <c r="L52" s="72">
        <f t="shared" si="4"/>
        <v>0</v>
      </c>
      <c r="M52" s="102"/>
      <c r="N52" s="102"/>
      <c r="O52" s="72">
        <f t="shared" si="5"/>
        <v>0</v>
      </c>
    </row>
    <row r="53" spans="1:15" ht="13.5" customHeight="1">
      <c r="A53" s="125"/>
      <c r="B53" s="463" t="s">
        <v>867</v>
      </c>
      <c r="C53" s="534" t="s">
        <v>879</v>
      </c>
      <c r="D53" s="535">
        <v>12</v>
      </c>
      <c r="E53" s="541">
        <v>2020</v>
      </c>
      <c r="F53" s="542">
        <v>456</v>
      </c>
      <c r="G53" s="542"/>
      <c r="H53" s="536">
        <f t="shared" si="6"/>
        <v>0</v>
      </c>
      <c r="I53" s="72">
        <f t="shared" si="7"/>
        <v>456</v>
      </c>
      <c r="J53" s="102"/>
      <c r="K53" s="102"/>
      <c r="L53" s="72">
        <f t="shared" si="4"/>
        <v>0</v>
      </c>
      <c r="M53" s="102"/>
      <c r="N53" s="102"/>
      <c r="O53" s="72">
        <f t="shared" si="5"/>
        <v>0</v>
      </c>
    </row>
    <row r="54" spans="1:15" ht="13.5" customHeight="1">
      <c r="A54" s="125"/>
      <c r="B54" s="461" t="s">
        <v>868</v>
      </c>
      <c r="C54" s="534" t="s">
        <v>879</v>
      </c>
      <c r="D54" s="535">
        <v>1</v>
      </c>
      <c r="E54" s="541">
        <v>2020</v>
      </c>
      <c r="F54" s="542">
        <v>114</v>
      </c>
      <c r="G54" s="542"/>
      <c r="H54" s="536">
        <f t="shared" si="6"/>
        <v>0</v>
      </c>
      <c r="I54" s="72">
        <f t="shared" si="7"/>
        <v>114</v>
      </c>
      <c r="J54" s="102"/>
      <c r="K54" s="102"/>
      <c r="L54" s="72">
        <f t="shared" si="4"/>
        <v>0</v>
      </c>
      <c r="M54" s="102"/>
      <c r="N54" s="102"/>
      <c r="O54" s="72">
        <f t="shared" si="5"/>
        <v>0</v>
      </c>
    </row>
    <row r="55" spans="1:15" ht="13.5" customHeight="1">
      <c r="A55" s="125"/>
      <c r="B55" s="461" t="s">
        <v>869</v>
      </c>
      <c r="C55" s="534" t="s">
        <v>879</v>
      </c>
      <c r="D55" s="535">
        <v>3</v>
      </c>
      <c r="E55" s="541"/>
      <c r="F55" s="542">
        <v>15</v>
      </c>
      <c r="G55" s="542">
        <v>15</v>
      </c>
      <c r="H55" s="536">
        <f t="shared" si="6"/>
        <v>100</v>
      </c>
      <c r="I55" s="72">
        <f t="shared" si="7"/>
        <v>0</v>
      </c>
      <c r="J55" s="102"/>
      <c r="K55" s="102"/>
      <c r="L55" s="72">
        <f t="shared" si="4"/>
        <v>0</v>
      </c>
      <c r="M55" s="102"/>
      <c r="N55" s="102"/>
      <c r="O55" s="72">
        <f t="shared" si="5"/>
        <v>0</v>
      </c>
    </row>
    <row r="56" spans="1:15" ht="13.5" customHeight="1">
      <c r="A56" s="125"/>
      <c r="B56" s="461" t="s">
        <v>870</v>
      </c>
      <c r="C56" s="534" t="s">
        <v>879</v>
      </c>
      <c r="D56" s="535">
        <v>2</v>
      </c>
      <c r="E56" s="535"/>
      <c r="F56" s="68">
        <v>639.5</v>
      </c>
      <c r="G56" s="68">
        <v>438.25</v>
      </c>
      <c r="H56" s="536">
        <f t="shared" si="6"/>
        <v>68.53010164190773</v>
      </c>
      <c r="I56" s="72">
        <f t="shared" si="7"/>
        <v>201.25</v>
      </c>
      <c r="J56" s="102"/>
      <c r="K56" s="102"/>
      <c r="L56" s="72">
        <f t="shared" si="4"/>
        <v>0</v>
      </c>
      <c r="M56" s="102"/>
      <c r="N56" s="102"/>
      <c r="O56" s="72">
        <f t="shared" si="5"/>
        <v>0</v>
      </c>
    </row>
    <row r="57" spans="1:15" ht="13.5" customHeight="1">
      <c r="A57" s="125"/>
      <c r="B57" s="461" t="s">
        <v>871</v>
      </c>
      <c r="C57" s="534" t="s">
        <v>879</v>
      </c>
      <c r="D57" s="535">
        <v>2</v>
      </c>
      <c r="E57" s="535"/>
      <c r="F57" s="72">
        <v>213</v>
      </c>
      <c r="G57" s="72">
        <v>213</v>
      </c>
      <c r="H57" s="536">
        <f t="shared" si="6"/>
        <v>100</v>
      </c>
      <c r="I57" s="72">
        <f t="shared" si="7"/>
        <v>0</v>
      </c>
      <c r="J57" s="102"/>
      <c r="K57" s="102"/>
      <c r="L57" s="72">
        <f t="shared" si="4"/>
        <v>0</v>
      </c>
      <c r="M57" s="102"/>
      <c r="N57" s="102"/>
      <c r="O57" s="72">
        <f t="shared" si="5"/>
        <v>0</v>
      </c>
    </row>
    <row r="58" spans="1:15" ht="13.5" customHeight="1">
      <c r="A58" s="125"/>
      <c r="B58" s="461" t="s">
        <v>872</v>
      </c>
      <c r="C58" s="534" t="s">
        <v>879</v>
      </c>
      <c r="D58" s="535">
        <v>1</v>
      </c>
      <c r="E58" s="535"/>
      <c r="F58" s="72">
        <v>23.4</v>
      </c>
      <c r="G58" s="72">
        <v>12.9</v>
      </c>
      <c r="H58" s="536">
        <f t="shared" si="6"/>
        <v>55.12820512820513</v>
      </c>
      <c r="I58" s="72">
        <f t="shared" si="7"/>
        <v>10.499999999999998</v>
      </c>
      <c r="J58" s="102"/>
      <c r="K58" s="102"/>
      <c r="L58" s="72">
        <f t="shared" si="4"/>
        <v>0</v>
      </c>
      <c r="M58" s="102"/>
      <c r="N58" s="102"/>
      <c r="O58" s="72">
        <f t="shared" si="5"/>
        <v>0</v>
      </c>
    </row>
    <row r="59" spans="1:15" ht="13.5" customHeight="1">
      <c r="A59" s="125"/>
      <c r="B59" s="461" t="s">
        <v>873</v>
      </c>
      <c r="C59" s="534" t="s">
        <v>879</v>
      </c>
      <c r="D59" s="535">
        <v>8</v>
      </c>
      <c r="E59" s="535"/>
      <c r="F59" s="68">
        <v>458.2</v>
      </c>
      <c r="G59" s="72">
        <v>201</v>
      </c>
      <c r="H59" s="536">
        <f t="shared" si="6"/>
        <v>43.867306852902665</v>
      </c>
      <c r="I59" s="72">
        <f t="shared" si="7"/>
        <v>257.2</v>
      </c>
      <c r="J59" s="102"/>
      <c r="K59" s="102"/>
      <c r="L59" s="72">
        <f t="shared" si="4"/>
        <v>0</v>
      </c>
      <c r="M59" s="102"/>
      <c r="N59" s="102"/>
      <c r="O59" s="72">
        <f t="shared" si="5"/>
        <v>0</v>
      </c>
    </row>
    <row r="60" spans="1:15" ht="13.5" customHeight="1">
      <c r="A60" s="125"/>
      <c r="B60" s="461" t="s">
        <v>874</v>
      </c>
      <c r="C60" s="534" t="s">
        <v>879</v>
      </c>
      <c r="D60" s="535">
        <v>27</v>
      </c>
      <c r="E60" s="535"/>
      <c r="F60" s="68">
        <v>3800.4</v>
      </c>
      <c r="G60" s="68">
        <v>187.05</v>
      </c>
      <c r="H60" s="536">
        <f t="shared" si="6"/>
        <v>4.921850331544048</v>
      </c>
      <c r="I60" s="72">
        <f t="shared" si="7"/>
        <v>3613.35</v>
      </c>
      <c r="J60" s="102"/>
      <c r="K60" s="102"/>
      <c r="L60" s="72">
        <f t="shared" si="4"/>
        <v>0</v>
      </c>
      <c r="M60" s="102"/>
      <c r="N60" s="102"/>
      <c r="O60" s="72">
        <f t="shared" si="5"/>
        <v>0</v>
      </c>
    </row>
    <row r="61" spans="1:15" ht="13.5" customHeight="1">
      <c r="A61" s="125"/>
      <c r="B61" s="461" t="s">
        <v>875</v>
      </c>
      <c r="C61" s="534" t="s">
        <v>879</v>
      </c>
      <c r="D61" s="535">
        <v>1</v>
      </c>
      <c r="E61" s="535"/>
      <c r="F61" s="68">
        <v>139.48</v>
      </c>
      <c r="G61" s="68">
        <v>139.48</v>
      </c>
      <c r="H61" s="536">
        <f t="shared" si="6"/>
        <v>100</v>
      </c>
      <c r="I61" s="72">
        <f t="shared" si="7"/>
        <v>0</v>
      </c>
      <c r="J61" s="102"/>
      <c r="K61" s="102"/>
      <c r="L61" s="72">
        <f t="shared" si="4"/>
        <v>0</v>
      </c>
      <c r="M61" s="102"/>
      <c r="N61" s="102"/>
      <c r="O61" s="72">
        <f t="shared" si="5"/>
        <v>0</v>
      </c>
    </row>
    <row r="62" spans="1:15" ht="13.5">
      <c r="A62" s="125"/>
      <c r="B62" s="461" t="s">
        <v>876</v>
      </c>
      <c r="C62" s="534" t="s">
        <v>879</v>
      </c>
      <c r="D62" s="535">
        <v>22</v>
      </c>
      <c r="E62" s="535">
        <v>2020</v>
      </c>
      <c r="F62" s="68">
        <v>522</v>
      </c>
      <c r="G62" s="68">
        <v>0</v>
      </c>
      <c r="H62" s="536">
        <f t="shared" si="6"/>
        <v>0</v>
      </c>
      <c r="I62" s="72">
        <f t="shared" si="7"/>
        <v>522</v>
      </c>
      <c r="J62" s="102"/>
      <c r="K62" s="102"/>
      <c r="L62" s="72">
        <f t="shared" si="4"/>
        <v>0</v>
      </c>
      <c r="M62" s="102"/>
      <c r="N62" s="102"/>
      <c r="O62" s="72">
        <f t="shared" si="5"/>
        <v>0</v>
      </c>
    </row>
    <row r="63" spans="1:15" ht="13.5">
      <c r="A63" s="125"/>
      <c r="B63" s="461" t="s">
        <v>877</v>
      </c>
      <c r="C63" s="534"/>
      <c r="D63" s="535"/>
      <c r="E63" s="535"/>
      <c r="F63" s="72">
        <v>140748.6</v>
      </c>
      <c r="G63" s="68"/>
      <c r="H63" s="536">
        <f t="shared" si="6"/>
        <v>0</v>
      </c>
      <c r="I63" s="72">
        <f t="shared" si="7"/>
        <v>140748.6</v>
      </c>
      <c r="J63" s="102"/>
      <c r="K63" s="102"/>
      <c r="L63" s="72">
        <f t="shared" si="4"/>
        <v>0</v>
      </c>
      <c r="M63" s="102"/>
      <c r="N63" s="102"/>
      <c r="O63" s="72">
        <f t="shared" si="5"/>
        <v>0</v>
      </c>
    </row>
    <row r="64" spans="1:15" ht="13.5">
      <c r="A64" s="125"/>
      <c r="B64" s="461" t="s">
        <v>878</v>
      </c>
      <c r="C64" s="534"/>
      <c r="D64" s="535"/>
      <c r="E64" s="535"/>
      <c r="F64" s="68">
        <v>212.17</v>
      </c>
      <c r="G64" s="68"/>
      <c r="H64" s="536">
        <f t="shared" si="6"/>
        <v>0</v>
      </c>
      <c r="I64" s="72">
        <f t="shared" si="7"/>
        <v>212.17</v>
      </c>
      <c r="J64" s="102"/>
      <c r="K64" s="102"/>
      <c r="L64" s="72">
        <f t="shared" si="4"/>
        <v>0</v>
      </c>
      <c r="M64" s="102"/>
      <c r="N64" s="102"/>
      <c r="O64" s="72">
        <f t="shared" si="5"/>
        <v>0</v>
      </c>
    </row>
    <row r="65" spans="1:15" ht="13.5">
      <c r="A65" s="125"/>
      <c r="B65" s="102"/>
      <c r="C65" s="102"/>
      <c r="D65" s="102"/>
      <c r="E65" s="102"/>
      <c r="F65" s="102"/>
      <c r="G65" s="102"/>
      <c r="H65" s="102"/>
      <c r="I65" s="102"/>
      <c r="J65" s="102"/>
      <c r="K65" s="102"/>
      <c r="L65" s="72">
        <f t="shared" si="4"/>
        <v>0</v>
      </c>
      <c r="M65" s="102"/>
      <c r="N65" s="102"/>
      <c r="O65" s="72">
        <f t="shared" si="5"/>
        <v>0</v>
      </c>
    </row>
    <row r="66" spans="1:15" ht="13.5">
      <c r="A66" s="125"/>
      <c r="B66" s="102"/>
      <c r="C66" s="102"/>
      <c r="D66" s="102"/>
      <c r="E66" s="102"/>
      <c r="F66" s="102"/>
      <c r="G66" s="102"/>
      <c r="H66" s="102"/>
      <c r="I66" s="102"/>
      <c r="J66" s="102"/>
      <c r="K66" s="102"/>
      <c r="L66" s="72">
        <f t="shared" si="4"/>
        <v>0</v>
      </c>
      <c r="M66" s="102"/>
      <c r="N66" s="102"/>
      <c r="O66" s="72">
        <f t="shared" si="5"/>
        <v>0</v>
      </c>
    </row>
    <row r="67" spans="1:15" ht="28.5">
      <c r="A67" s="125"/>
      <c r="B67" s="188" t="s">
        <v>163</v>
      </c>
      <c r="C67" s="125" t="s">
        <v>1</v>
      </c>
      <c r="D67" s="125" t="s">
        <v>1</v>
      </c>
      <c r="E67" s="125" t="s">
        <v>1</v>
      </c>
      <c r="F67" s="125" t="s">
        <v>1</v>
      </c>
      <c r="G67" s="125" t="s">
        <v>1</v>
      </c>
      <c r="H67" s="125" t="s">
        <v>1</v>
      </c>
      <c r="I67" s="125" t="s">
        <v>1</v>
      </c>
      <c r="J67" s="125" t="s">
        <v>1</v>
      </c>
      <c r="K67" s="125" t="s">
        <v>1</v>
      </c>
      <c r="L67" s="127">
        <f>SUM(L14:L66)</f>
        <v>0</v>
      </c>
      <c r="M67" s="125" t="s">
        <v>1</v>
      </c>
      <c r="N67" s="125" t="s">
        <v>1</v>
      </c>
      <c r="O67" s="127">
        <f>SUM(O14:O66)</f>
        <v>0</v>
      </c>
    </row>
    <row r="68" ht="13.5">
      <c r="O68" s="4"/>
    </row>
  </sheetData>
  <sheetProtection/>
  <mergeCells count="7">
    <mergeCell ref="M10:O10"/>
    <mergeCell ref="D10:I10"/>
    <mergeCell ref="J10:L10"/>
    <mergeCell ref="H2:J2"/>
    <mergeCell ref="A5:K5"/>
    <mergeCell ref="A7:K7"/>
    <mergeCell ref="B4:E4"/>
  </mergeCells>
  <printOptions/>
  <pageMargins left="0.19" right="0.18" top="0.38" bottom="0.24" header="0.17" footer="0.19"/>
  <pageSetup horizontalDpi="600" verticalDpi="600" orientation="landscape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N28"/>
  <sheetViews>
    <sheetView view="pageBreakPreview" zoomScale="60" zoomScaleNormal="80" zoomScalePageLayoutView="0" workbookViewId="0" topLeftCell="A1">
      <selection activeCell="L18" sqref="L18"/>
    </sheetView>
  </sheetViews>
  <sheetFormatPr defaultColWidth="9.140625" defaultRowHeight="12.75"/>
  <cols>
    <col min="1" max="1" width="6.28125" style="209" customWidth="1"/>
    <col min="2" max="2" width="23.421875" style="210" customWidth="1"/>
    <col min="3" max="3" width="30.00390625" style="210" customWidth="1"/>
    <col min="4" max="4" width="16.00390625" style="210" customWidth="1"/>
    <col min="5" max="5" width="12.28125" style="210" customWidth="1"/>
    <col min="6" max="6" width="29.8515625" style="210" customWidth="1"/>
    <col min="7" max="7" width="25.28125" style="210" customWidth="1"/>
    <col min="8" max="10" width="16.140625" style="210" customWidth="1"/>
    <col min="11" max="11" width="12.140625" style="210" customWidth="1"/>
    <col min="12" max="12" width="26.8515625" style="210" customWidth="1"/>
    <col min="13" max="16384" width="9.140625" style="210" customWidth="1"/>
  </cols>
  <sheetData>
    <row r="1" spans="1:14" s="264" customFormat="1" ht="17.25">
      <c r="A1" s="211"/>
      <c r="B1" s="642" t="s">
        <v>270</v>
      </c>
      <c r="C1" s="642"/>
      <c r="D1" s="120"/>
      <c r="E1" s="30"/>
      <c r="G1" s="120"/>
      <c r="H1" s="120"/>
      <c r="I1" s="120"/>
      <c r="J1" s="120"/>
      <c r="K1" s="120"/>
      <c r="L1" s="120"/>
      <c r="N1" s="3"/>
    </row>
    <row r="2" spans="1:14" s="264" customFormat="1" ht="17.25" customHeight="1">
      <c r="A2" s="211"/>
      <c r="D2" s="297"/>
      <c r="G2" s="297"/>
      <c r="H2" s="297"/>
      <c r="I2" s="297"/>
      <c r="J2" s="297"/>
      <c r="K2" s="297"/>
      <c r="L2" s="297"/>
      <c r="N2" s="135"/>
    </row>
    <row r="3" spans="1:12" s="264" customFormat="1" ht="18" thickBot="1">
      <c r="A3" s="211"/>
      <c r="B3" s="455" t="s">
        <v>411</v>
      </c>
      <c r="C3" s="212"/>
      <c r="D3" s="212"/>
      <c r="E3" s="212"/>
      <c r="F3" s="212"/>
      <c r="G3" s="212"/>
      <c r="H3" s="212"/>
      <c r="I3" s="212"/>
      <c r="J3" s="212"/>
      <c r="K3" s="212"/>
      <c r="L3" s="212"/>
    </row>
    <row r="4" spans="1:12" s="265" customFormat="1" ht="27" customHeight="1">
      <c r="A4" s="211"/>
      <c r="B4" s="298" t="s">
        <v>12</v>
      </c>
      <c r="C4" s="298"/>
      <c r="D4" s="213"/>
      <c r="E4" s="213"/>
      <c r="F4" s="298"/>
      <c r="G4" s="213"/>
      <c r="H4" s="213"/>
      <c r="I4" s="213"/>
      <c r="J4" s="213"/>
      <c r="K4" s="213"/>
      <c r="L4" s="213"/>
    </row>
    <row r="5" spans="1:12" s="264" customFormat="1" ht="22.5" customHeight="1">
      <c r="A5" s="317" t="s">
        <v>205</v>
      </c>
      <c r="B5" s="317"/>
      <c r="C5" s="317"/>
      <c r="D5" s="317"/>
      <c r="E5" s="317"/>
      <c r="F5" s="317"/>
      <c r="G5" s="317"/>
      <c r="H5" s="317"/>
      <c r="I5" s="317"/>
      <c r="J5" s="317"/>
      <c r="K5" s="317"/>
      <c r="L5" s="317"/>
    </row>
    <row r="6" spans="1:12" s="264" customFormat="1" ht="22.5" customHeight="1">
      <c r="A6" s="317" t="s">
        <v>223</v>
      </c>
      <c r="B6" s="317"/>
      <c r="C6" s="317"/>
      <c r="D6" s="317"/>
      <c r="E6" s="317"/>
      <c r="F6" s="317"/>
      <c r="G6" s="317"/>
      <c r="H6" s="317"/>
      <c r="I6" s="317"/>
      <c r="J6" s="317"/>
      <c r="K6" s="317"/>
      <c r="L6" s="317"/>
    </row>
    <row r="7" spans="1:12" s="265" customFormat="1" ht="17.25">
      <c r="A7" s="211"/>
      <c r="B7" s="213"/>
      <c r="C7" s="213"/>
      <c r="D7" s="213"/>
      <c r="E7" s="213"/>
      <c r="F7" s="213"/>
      <c r="G7" s="213"/>
      <c r="H7" s="213"/>
      <c r="I7" s="213"/>
      <c r="J7" s="213"/>
      <c r="K7" s="213"/>
      <c r="L7" s="213"/>
    </row>
    <row r="8" spans="1:12" s="214" customFormat="1" ht="17.25">
      <c r="A8" s="211"/>
      <c r="B8" s="213"/>
      <c r="C8" s="213"/>
      <c r="D8" s="213"/>
      <c r="E8" s="213"/>
      <c r="F8" s="213"/>
      <c r="G8" s="213"/>
      <c r="H8" s="213"/>
      <c r="I8" s="213"/>
      <c r="J8" s="213"/>
      <c r="K8" s="213"/>
      <c r="L8" s="213"/>
    </row>
    <row r="9" spans="1:12" s="214" customFormat="1" ht="17.25">
      <c r="A9" s="211"/>
      <c r="B9" s="642"/>
      <c r="C9" s="642"/>
      <c r="D9" s="302"/>
      <c r="E9" s="213"/>
      <c r="F9" s="213"/>
      <c r="G9" s="302"/>
      <c r="H9" s="302"/>
      <c r="I9" s="302"/>
      <c r="J9" s="302"/>
      <c r="K9" s="302"/>
      <c r="L9" s="302" t="s">
        <v>221</v>
      </c>
    </row>
    <row r="10" spans="1:12" s="214" customFormat="1" ht="17.25">
      <c r="A10" s="211"/>
      <c r="B10" s="213"/>
      <c r="C10" s="213"/>
      <c r="D10" s="302"/>
      <c r="E10" s="213"/>
      <c r="F10" s="213"/>
      <c r="G10" s="302"/>
      <c r="H10" s="302"/>
      <c r="I10" s="302"/>
      <c r="J10" s="302"/>
      <c r="K10" s="302"/>
      <c r="L10" s="302"/>
    </row>
    <row r="11" spans="1:12" s="173" customFormat="1" ht="132" customHeight="1">
      <c r="A11" s="215" t="s">
        <v>97</v>
      </c>
      <c r="B11" s="239" t="s">
        <v>228</v>
      </c>
      <c r="C11" s="239" t="s">
        <v>224</v>
      </c>
      <c r="D11" s="239" t="s">
        <v>226</v>
      </c>
      <c r="E11" s="239" t="s">
        <v>227</v>
      </c>
      <c r="F11" s="239" t="s">
        <v>252</v>
      </c>
      <c r="G11" s="239" t="s">
        <v>255</v>
      </c>
      <c r="H11" s="239" t="s">
        <v>256</v>
      </c>
      <c r="I11" s="239" t="s">
        <v>257</v>
      </c>
      <c r="J11" s="239" t="s">
        <v>258</v>
      </c>
      <c r="K11" s="239" t="s">
        <v>259</v>
      </c>
      <c r="L11" s="239" t="s">
        <v>348</v>
      </c>
    </row>
    <row r="12" spans="1:12" s="401" customFormat="1" ht="13.5">
      <c r="A12" s="218">
        <v>1</v>
      </c>
      <c r="B12" s="126">
        <v>2</v>
      </c>
      <c r="C12" s="126">
        <v>3</v>
      </c>
      <c r="D12" s="126">
        <v>4</v>
      </c>
      <c r="E12" s="126">
        <v>5</v>
      </c>
      <c r="F12" s="126">
        <v>6</v>
      </c>
      <c r="G12" s="126">
        <v>7</v>
      </c>
      <c r="H12" s="126">
        <v>7.1</v>
      </c>
      <c r="I12" s="126">
        <v>7.2</v>
      </c>
      <c r="J12" s="126">
        <v>7.3</v>
      </c>
      <c r="K12" s="126">
        <v>7.4</v>
      </c>
      <c r="L12" s="126">
        <v>8</v>
      </c>
    </row>
    <row r="13" spans="1:12" s="173" customFormat="1" ht="32.25" customHeight="1">
      <c r="A13" s="344"/>
      <c r="B13" s="345" t="s">
        <v>250</v>
      </c>
      <c r="C13" s="345"/>
      <c r="D13" s="345" t="s">
        <v>1</v>
      </c>
      <c r="E13" s="345">
        <f>SUM(E14:E17)</f>
        <v>1253</v>
      </c>
      <c r="F13" s="345"/>
      <c r="G13" s="345"/>
      <c r="H13" s="345"/>
      <c r="I13" s="345"/>
      <c r="J13" s="345"/>
      <c r="K13" s="345"/>
      <c r="L13" s="345"/>
    </row>
    <row r="14" spans="1:12" ht="51.75">
      <c r="A14" s="216">
        <v>1</v>
      </c>
      <c r="B14" s="519" t="s">
        <v>881</v>
      </c>
      <c r="C14" s="519" t="s">
        <v>882</v>
      </c>
      <c r="D14" s="217"/>
      <c r="E14" s="217">
        <v>1253</v>
      </c>
      <c r="F14" s="216" t="s">
        <v>883</v>
      </c>
      <c r="G14" s="554">
        <f>H14+J14+K14</f>
        <v>6710.13626728</v>
      </c>
      <c r="H14" s="554">
        <v>4109</v>
      </c>
      <c r="I14" s="216">
        <v>0</v>
      </c>
      <c r="J14" s="554">
        <f>'9-գազով ջեռուցում'!M15</f>
        <v>2223.23626728</v>
      </c>
      <c r="K14" s="216">
        <f>'3-Ծախսերի բացվածք'!G19</f>
        <v>377.9</v>
      </c>
      <c r="L14" s="216">
        <v>0</v>
      </c>
    </row>
    <row r="15" spans="1:12" ht="17.25">
      <c r="A15" s="216">
        <v>2</v>
      </c>
      <c r="B15" s="217"/>
      <c r="C15" s="217"/>
      <c r="D15" s="216" t="s">
        <v>1</v>
      </c>
      <c r="E15" s="217"/>
      <c r="F15" s="216"/>
      <c r="G15" s="216">
        <f aca="true" t="shared" si="0" ref="G15:G22">SUM(H15:K15)</f>
        <v>0</v>
      </c>
      <c r="H15" s="216"/>
      <c r="I15" s="216"/>
      <c r="J15" s="216"/>
      <c r="K15" s="216"/>
      <c r="L15" s="216"/>
    </row>
    <row r="16" spans="1:12" ht="17.25">
      <c r="A16" s="216">
        <v>3</v>
      </c>
      <c r="B16" s="217"/>
      <c r="C16" s="217"/>
      <c r="D16" s="216" t="s">
        <v>1</v>
      </c>
      <c r="E16" s="217"/>
      <c r="F16" s="216"/>
      <c r="G16" s="216">
        <f t="shared" si="0"/>
        <v>0</v>
      </c>
      <c r="H16" s="216"/>
      <c r="I16" s="216"/>
      <c r="J16" s="216"/>
      <c r="K16" s="216"/>
      <c r="L16" s="216"/>
    </row>
    <row r="17" spans="1:12" ht="17.25">
      <c r="A17" s="216" t="s">
        <v>200</v>
      </c>
      <c r="B17" s="217"/>
      <c r="C17" s="217"/>
      <c r="D17" s="216" t="s">
        <v>1</v>
      </c>
      <c r="E17" s="217"/>
      <c r="F17" s="216"/>
      <c r="G17" s="216">
        <f t="shared" si="0"/>
        <v>0</v>
      </c>
      <c r="H17" s="216"/>
      <c r="I17" s="216"/>
      <c r="J17" s="216"/>
      <c r="K17" s="216"/>
      <c r="L17" s="216"/>
    </row>
    <row r="18" spans="1:12" s="173" customFormat="1" ht="32.25" customHeight="1">
      <c r="A18" s="344"/>
      <c r="B18" s="345" t="s">
        <v>251</v>
      </c>
      <c r="C18" s="345"/>
      <c r="D18" s="345" t="s">
        <v>1</v>
      </c>
      <c r="E18" s="345">
        <f>SUM(E19:E22)</f>
        <v>0</v>
      </c>
      <c r="F18" s="345"/>
      <c r="G18" s="345"/>
      <c r="H18" s="345"/>
      <c r="I18" s="345"/>
      <c r="J18" s="345"/>
      <c r="K18" s="345"/>
      <c r="L18" s="345"/>
    </row>
    <row r="19" spans="1:12" ht="17.25">
      <c r="A19" s="216">
        <v>1</v>
      </c>
      <c r="B19" s="217"/>
      <c r="C19" s="217"/>
      <c r="D19" s="216" t="s">
        <v>1</v>
      </c>
      <c r="E19" s="217"/>
      <c r="F19" s="216"/>
      <c r="G19" s="216">
        <f t="shared" si="0"/>
        <v>0</v>
      </c>
      <c r="H19" s="216"/>
      <c r="I19" s="216"/>
      <c r="J19" s="216"/>
      <c r="K19" s="216"/>
      <c r="L19" s="216"/>
    </row>
    <row r="20" spans="1:12" ht="17.25">
      <c r="A20" s="216">
        <v>2</v>
      </c>
      <c r="B20" s="217"/>
      <c r="C20" s="217"/>
      <c r="D20" s="216" t="s">
        <v>1</v>
      </c>
      <c r="E20" s="217"/>
      <c r="F20" s="216"/>
      <c r="G20" s="216">
        <f t="shared" si="0"/>
        <v>0</v>
      </c>
      <c r="H20" s="216"/>
      <c r="I20" s="216"/>
      <c r="J20" s="216"/>
      <c r="K20" s="216"/>
      <c r="L20" s="216"/>
    </row>
    <row r="21" spans="1:12" ht="17.25">
      <c r="A21" s="216">
        <v>3</v>
      </c>
      <c r="B21" s="217"/>
      <c r="C21" s="217"/>
      <c r="D21" s="216" t="s">
        <v>1</v>
      </c>
      <c r="E21" s="217"/>
      <c r="F21" s="216"/>
      <c r="G21" s="216">
        <f t="shared" si="0"/>
        <v>0</v>
      </c>
      <c r="H21" s="216"/>
      <c r="I21" s="216"/>
      <c r="J21" s="216"/>
      <c r="K21" s="216"/>
      <c r="L21" s="216"/>
    </row>
    <row r="22" spans="1:12" ht="17.25">
      <c r="A22" s="216" t="s">
        <v>200</v>
      </c>
      <c r="B22" s="217"/>
      <c r="C22" s="217"/>
      <c r="D22" s="216" t="s">
        <v>1</v>
      </c>
      <c r="E22" s="217"/>
      <c r="F22" s="216"/>
      <c r="G22" s="216">
        <f t="shared" si="0"/>
        <v>0</v>
      </c>
      <c r="H22" s="216"/>
      <c r="I22" s="216"/>
      <c r="J22" s="216"/>
      <c r="K22" s="216"/>
      <c r="L22" s="216"/>
    </row>
    <row r="23" spans="1:12" s="173" customFormat="1" ht="32.25" customHeight="1">
      <c r="A23" s="344"/>
      <c r="B23" s="345" t="s">
        <v>249</v>
      </c>
      <c r="C23" s="345"/>
      <c r="D23" s="345"/>
      <c r="E23" s="345">
        <f>SUM(E24:E27)</f>
        <v>0</v>
      </c>
      <c r="F23" s="345"/>
      <c r="G23" s="345"/>
      <c r="H23" s="345"/>
      <c r="I23" s="345"/>
      <c r="J23" s="345"/>
      <c r="K23" s="345"/>
      <c r="L23" s="345"/>
    </row>
    <row r="24" spans="1:12" ht="17.25">
      <c r="A24" s="216">
        <v>1</v>
      </c>
      <c r="B24" s="217"/>
      <c r="C24" s="217"/>
      <c r="D24" s="216"/>
      <c r="E24" s="217"/>
      <c r="F24" s="216"/>
      <c r="G24" s="216">
        <f>SUM(H24:K24)</f>
        <v>0</v>
      </c>
      <c r="H24" s="216"/>
      <c r="I24" s="216"/>
      <c r="J24" s="216"/>
      <c r="K24" s="216"/>
      <c r="L24" s="216"/>
    </row>
    <row r="25" spans="1:12" ht="17.25">
      <c r="A25" s="216">
        <v>2</v>
      </c>
      <c r="B25" s="217"/>
      <c r="C25" s="217"/>
      <c r="D25" s="216"/>
      <c r="E25" s="217"/>
      <c r="F25" s="216"/>
      <c r="G25" s="216">
        <f>SUM(H25:K25)</f>
        <v>0</v>
      </c>
      <c r="H25" s="216"/>
      <c r="I25" s="216"/>
      <c r="J25" s="216"/>
      <c r="K25" s="216"/>
      <c r="L25" s="216"/>
    </row>
    <row r="26" spans="1:12" ht="17.25">
      <c r="A26" s="216">
        <v>3</v>
      </c>
      <c r="B26" s="217"/>
      <c r="C26" s="217"/>
      <c r="D26" s="216"/>
      <c r="E26" s="217"/>
      <c r="F26" s="216"/>
      <c r="G26" s="216">
        <f>SUM(H26:K26)</f>
        <v>0</v>
      </c>
      <c r="H26" s="216"/>
      <c r="I26" s="216"/>
      <c r="J26" s="216"/>
      <c r="K26" s="216"/>
      <c r="L26" s="216"/>
    </row>
    <row r="27" spans="1:12" ht="17.25">
      <c r="A27" s="216" t="s">
        <v>200</v>
      </c>
      <c r="B27" s="217"/>
      <c r="C27" s="217"/>
      <c r="D27" s="216"/>
      <c r="E27" s="217"/>
      <c r="F27" s="216"/>
      <c r="G27" s="216">
        <f>SUM(H27:K27)</f>
        <v>0</v>
      </c>
      <c r="H27" s="216"/>
      <c r="I27" s="216"/>
      <c r="J27" s="216"/>
      <c r="K27" s="216"/>
      <c r="L27" s="216"/>
    </row>
    <row r="28" spans="1:12" s="173" customFormat="1" ht="32.25" customHeight="1">
      <c r="A28" s="344"/>
      <c r="B28" s="346" t="s">
        <v>225</v>
      </c>
      <c r="C28" s="345"/>
      <c r="D28" s="347">
        <f>SUM(D24:D27)</f>
        <v>0</v>
      </c>
      <c r="E28" s="345"/>
      <c r="F28" s="345"/>
      <c r="G28" s="345"/>
      <c r="H28" s="345"/>
      <c r="I28" s="345"/>
      <c r="J28" s="345"/>
      <c r="K28" s="345"/>
      <c r="L28" s="345"/>
    </row>
  </sheetData>
  <sheetProtection/>
  <mergeCells count="2">
    <mergeCell ref="B9:C9"/>
    <mergeCell ref="B1:C1"/>
  </mergeCells>
  <printOptions/>
  <pageMargins left="0.35" right="0.35" top="0.29" bottom="0.37" header="0.21" footer="0.16"/>
  <pageSetup horizontalDpi="600" verticalDpi="600" orientation="landscape" paperSize="9" scale="62" r:id="rId1"/>
  <colBreaks count="1" manualBreakCount="1">
    <brk id="12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H64"/>
  <sheetViews>
    <sheetView view="pageBreakPreview" zoomScale="60" zoomScalePageLayoutView="0" workbookViewId="0" topLeftCell="A4">
      <selection activeCell="B4" sqref="B4:C4"/>
    </sheetView>
  </sheetViews>
  <sheetFormatPr defaultColWidth="9.140625" defaultRowHeight="12.75"/>
  <cols>
    <col min="1" max="1" width="6.28125" style="4" customWidth="1"/>
    <col min="2" max="2" width="70.8515625" style="5" customWidth="1"/>
    <col min="3" max="3" width="18.00390625" style="5" customWidth="1"/>
    <col min="4" max="16384" width="9.140625" style="5" customWidth="1"/>
  </cols>
  <sheetData>
    <row r="1" spans="1:3" s="31" customFormat="1" ht="14.25">
      <c r="A1" s="30"/>
      <c r="C1" s="36" t="s">
        <v>165</v>
      </c>
    </row>
    <row r="2" spans="1:3" s="31" customFormat="1" ht="14.25">
      <c r="A2" s="30"/>
      <c r="C2" s="429" t="s">
        <v>11</v>
      </c>
    </row>
    <row r="3" spans="1:3" s="31" customFormat="1" ht="27.75" thickBot="1">
      <c r="A3" s="30"/>
      <c r="B3" s="22" t="s">
        <v>412</v>
      </c>
      <c r="C3" s="22"/>
    </row>
    <row r="4" spans="1:8" s="296" customFormat="1" ht="17.25" customHeight="1">
      <c r="A4" s="263"/>
      <c r="B4" s="646" t="s">
        <v>972</v>
      </c>
      <c r="C4" s="646"/>
      <c r="D4" s="274"/>
      <c r="E4" s="274"/>
      <c r="F4" s="274"/>
      <c r="G4" s="274"/>
      <c r="H4" s="274"/>
    </row>
    <row r="5" spans="1:3" s="31" customFormat="1" ht="24" customHeight="1">
      <c r="A5" s="644" t="s">
        <v>133</v>
      </c>
      <c r="B5" s="644"/>
      <c r="C5" s="644"/>
    </row>
    <row r="6" spans="1:3" s="31" customFormat="1" ht="13.5">
      <c r="A6" s="645" t="s">
        <v>208</v>
      </c>
      <c r="B6" s="645"/>
      <c r="C6" s="645"/>
    </row>
    <row r="7" spans="1:3" s="172" customFormat="1" ht="13.5">
      <c r="A7" s="30"/>
      <c r="B7" s="171"/>
      <c r="C7" s="171"/>
    </row>
    <row r="8" spans="1:3" s="173" customFormat="1" ht="13.5">
      <c r="A8" s="30"/>
      <c r="B8" s="430"/>
      <c r="C8" s="430"/>
    </row>
    <row r="9" spans="1:3" s="173" customFormat="1" ht="31.5" customHeight="1">
      <c r="A9" s="30"/>
      <c r="B9" s="643" t="s">
        <v>215</v>
      </c>
      <c r="C9" s="643"/>
    </row>
    <row r="10" spans="1:3" s="173" customFormat="1" ht="13.5">
      <c r="A10" s="30"/>
      <c r="B10" s="171"/>
      <c r="C10" s="171"/>
    </row>
    <row r="11" spans="1:3" s="173" customFormat="1" ht="35.25" customHeight="1">
      <c r="A11" s="215" t="s">
        <v>97</v>
      </c>
      <c r="B11" s="29" t="s">
        <v>166</v>
      </c>
      <c r="C11" s="29" t="s">
        <v>167</v>
      </c>
    </row>
    <row r="12" spans="1:3" s="173" customFormat="1" ht="14.25">
      <c r="A12" s="220">
        <v>1</v>
      </c>
      <c r="B12" s="594">
        <v>2</v>
      </c>
      <c r="C12" s="594">
        <v>3</v>
      </c>
    </row>
    <row r="13" spans="1:3" ht="14.25">
      <c r="A13" s="215" t="s">
        <v>2</v>
      </c>
      <c r="B13" s="223" t="s">
        <v>282</v>
      </c>
      <c r="C13" s="215">
        <f>+C14+C15</f>
        <v>4</v>
      </c>
    </row>
    <row r="14" spans="1:3" ht="13.5">
      <c r="A14" s="215"/>
      <c r="B14" s="431" t="s">
        <v>288</v>
      </c>
      <c r="C14" s="215">
        <v>1</v>
      </c>
    </row>
    <row r="15" spans="1:3" ht="13.5">
      <c r="A15" s="215"/>
      <c r="B15" s="431" t="s">
        <v>289</v>
      </c>
      <c r="C15" s="215">
        <v>3</v>
      </c>
    </row>
    <row r="16" spans="1:3" ht="14.25">
      <c r="A16" s="215" t="s">
        <v>3</v>
      </c>
      <c r="B16" s="223" t="s">
        <v>209</v>
      </c>
      <c r="C16" s="215">
        <f>+C17+C18+C19</f>
        <v>4</v>
      </c>
    </row>
    <row r="17" spans="1:3" ht="13.5">
      <c r="A17" s="215"/>
      <c r="B17" s="431" t="s">
        <v>210</v>
      </c>
      <c r="C17" s="215">
        <v>1</v>
      </c>
    </row>
    <row r="18" spans="1:3" ht="13.5">
      <c r="A18" s="215"/>
      <c r="B18" s="431" t="s">
        <v>211</v>
      </c>
      <c r="C18" s="215">
        <v>2</v>
      </c>
    </row>
    <row r="19" spans="1:3" ht="13.5">
      <c r="A19" s="215"/>
      <c r="B19" s="431" t="s">
        <v>413</v>
      </c>
      <c r="C19" s="215">
        <v>1</v>
      </c>
    </row>
    <row r="20" spans="1:3" ht="13.5">
      <c r="A20" s="432"/>
      <c r="B20" s="433"/>
      <c r="C20" s="432"/>
    </row>
    <row r="21" spans="1:3" ht="13.5">
      <c r="A21" s="215"/>
      <c r="B21" s="431" t="s">
        <v>273</v>
      </c>
      <c r="C21" s="215">
        <v>1</v>
      </c>
    </row>
    <row r="22" spans="1:3" ht="13.5">
      <c r="A22" s="215"/>
      <c r="B22" s="431" t="s">
        <v>274</v>
      </c>
      <c r="C22" s="215"/>
    </row>
    <row r="23" spans="1:3" ht="35.25" customHeight="1">
      <c r="A23" s="215" t="s">
        <v>4</v>
      </c>
      <c r="B23" s="223" t="s">
        <v>275</v>
      </c>
      <c r="C23" s="215">
        <f>+C25++C40</f>
        <v>56</v>
      </c>
    </row>
    <row r="24" spans="1:3" ht="14.25">
      <c r="A24" s="215"/>
      <c r="B24" s="223" t="s">
        <v>276</v>
      </c>
      <c r="C24" s="215"/>
    </row>
    <row r="25" spans="1:3" ht="14.25">
      <c r="A25" s="220" t="s">
        <v>279</v>
      </c>
      <c r="B25" s="28" t="s">
        <v>277</v>
      </c>
      <c r="C25" s="215">
        <f>+C26+C33</f>
        <v>35</v>
      </c>
    </row>
    <row r="26" spans="1:3" ht="14.25">
      <c r="A26" s="215"/>
      <c r="B26" s="223" t="s">
        <v>168</v>
      </c>
      <c r="C26" s="215">
        <f>SUM(C28:C32)</f>
        <v>24</v>
      </c>
    </row>
    <row r="27" spans="1:8" ht="15">
      <c r="A27" s="215"/>
      <c r="B27" s="98" t="s">
        <v>156</v>
      </c>
      <c r="C27" s="215"/>
      <c r="F27" s="434"/>
      <c r="H27" s="435"/>
    </row>
    <row r="28" spans="1:3" ht="13.5">
      <c r="A28" s="215">
        <v>1</v>
      </c>
      <c r="B28" s="98" t="s">
        <v>414</v>
      </c>
      <c r="C28" s="215">
        <v>4</v>
      </c>
    </row>
    <row r="29" spans="1:3" ht="13.5">
      <c r="A29" s="215">
        <v>2</v>
      </c>
      <c r="B29" s="98" t="s">
        <v>415</v>
      </c>
      <c r="C29" s="215">
        <v>5</v>
      </c>
    </row>
    <row r="30" spans="1:3" ht="13.5">
      <c r="A30" s="215">
        <v>3</v>
      </c>
      <c r="B30" s="98" t="s">
        <v>416</v>
      </c>
      <c r="C30" s="215">
        <v>4</v>
      </c>
    </row>
    <row r="31" spans="1:3" ht="13.5">
      <c r="A31" s="215">
        <v>4</v>
      </c>
      <c r="B31" s="98" t="s">
        <v>417</v>
      </c>
      <c r="C31" s="215">
        <v>7</v>
      </c>
    </row>
    <row r="32" spans="1:3" ht="13.5">
      <c r="A32" s="215">
        <v>5</v>
      </c>
      <c r="B32" s="98" t="s">
        <v>418</v>
      </c>
      <c r="C32" s="215">
        <v>4</v>
      </c>
    </row>
    <row r="33" spans="1:3" ht="14.25">
      <c r="A33" s="215"/>
      <c r="B33" s="223" t="s">
        <v>170</v>
      </c>
      <c r="C33" s="215">
        <f>SUM(C35:C38)</f>
        <v>11</v>
      </c>
    </row>
    <row r="34" spans="1:3" ht="13.5">
      <c r="A34" s="215"/>
      <c r="B34" s="98" t="s">
        <v>156</v>
      </c>
      <c r="C34" s="215"/>
    </row>
    <row r="35" spans="1:3" ht="27">
      <c r="A35" s="215">
        <v>1</v>
      </c>
      <c r="B35" s="453" t="s">
        <v>419</v>
      </c>
      <c r="C35" s="215">
        <v>3</v>
      </c>
    </row>
    <row r="36" spans="1:3" ht="13.5">
      <c r="A36" s="215">
        <v>2</v>
      </c>
      <c r="B36" s="454" t="s">
        <v>420</v>
      </c>
      <c r="C36" s="215">
        <v>2</v>
      </c>
    </row>
    <row r="37" spans="1:3" ht="13.5">
      <c r="A37" s="215">
        <v>3</v>
      </c>
      <c r="B37" s="453" t="s">
        <v>421</v>
      </c>
      <c r="C37" s="215">
        <v>6</v>
      </c>
    </row>
    <row r="38" spans="1:3" ht="13.5">
      <c r="A38" s="215">
        <v>4</v>
      </c>
      <c r="B38" s="98"/>
      <c r="C38" s="215"/>
    </row>
    <row r="39" spans="1:3" ht="13.5">
      <c r="A39" s="215"/>
      <c r="B39" s="98"/>
      <c r="C39" s="215"/>
    </row>
    <row r="40" spans="1:3" ht="14.25">
      <c r="A40" s="220" t="s">
        <v>278</v>
      </c>
      <c r="B40" s="28" t="s">
        <v>280</v>
      </c>
      <c r="C40" s="215">
        <f>+C41+C47+C49</f>
        <v>21</v>
      </c>
    </row>
    <row r="41" spans="1:3" ht="14.25">
      <c r="A41" s="215"/>
      <c r="B41" s="223" t="s">
        <v>168</v>
      </c>
      <c r="C41" s="215">
        <f>SUM(C43:C46)</f>
        <v>7</v>
      </c>
    </row>
    <row r="42" spans="1:8" ht="15">
      <c r="A42" s="215"/>
      <c r="B42" s="98" t="s">
        <v>156</v>
      </c>
      <c r="C42" s="215"/>
      <c r="F42" s="434"/>
      <c r="H42" s="435"/>
    </row>
    <row r="43" spans="1:3" ht="13.5">
      <c r="A43" s="215">
        <v>1</v>
      </c>
      <c r="B43" s="98" t="s">
        <v>422</v>
      </c>
      <c r="C43" s="215">
        <v>7</v>
      </c>
    </row>
    <row r="44" spans="1:3" ht="13.5">
      <c r="A44" s="215">
        <v>2</v>
      </c>
      <c r="B44" s="98"/>
      <c r="C44" s="215"/>
    </row>
    <row r="45" spans="1:3" ht="13.5">
      <c r="A45" s="215">
        <v>3</v>
      </c>
      <c r="B45" s="98"/>
      <c r="C45" s="215"/>
    </row>
    <row r="46" spans="1:3" ht="13.5">
      <c r="A46" s="215">
        <v>4</v>
      </c>
      <c r="B46" s="98"/>
      <c r="C46" s="215"/>
    </row>
    <row r="47" spans="1:3" ht="14.25">
      <c r="A47" s="215"/>
      <c r="B47" s="223" t="s">
        <v>169</v>
      </c>
      <c r="C47" s="436">
        <v>7</v>
      </c>
    </row>
    <row r="48" spans="1:3" ht="14.25">
      <c r="A48" s="215"/>
      <c r="B48" s="99"/>
      <c r="C48" s="215"/>
    </row>
    <row r="49" spans="1:3" ht="14.25">
      <c r="A49" s="215"/>
      <c r="B49" s="223" t="s">
        <v>170</v>
      </c>
      <c r="C49" s="215">
        <f>SUM(C51:C54)</f>
        <v>7</v>
      </c>
    </row>
    <row r="50" spans="1:3" ht="13.5">
      <c r="A50" s="215"/>
      <c r="B50" s="98" t="s">
        <v>156</v>
      </c>
      <c r="C50" s="215"/>
    </row>
    <row r="51" spans="1:3" ht="13.5">
      <c r="A51" s="215">
        <v>1</v>
      </c>
      <c r="B51" s="454" t="s">
        <v>423</v>
      </c>
      <c r="C51" s="215">
        <v>2</v>
      </c>
    </row>
    <row r="52" spans="1:3" ht="13.5">
      <c r="A52" s="215">
        <v>2</v>
      </c>
      <c r="B52" s="454" t="s">
        <v>424</v>
      </c>
      <c r="C52" s="215">
        <v>2</v>
      </c>
    </row>
    <row r="53" spans="1:3" ht="13.5">
      <c r="A53" s="215">
        <v>3</v>
      </c>
      <c r="B53" s="454" t="s">
        <v>425</v>
      </c>
      <c r="C53" s="215">
        <v>1</v>
      </c>
    </row>
    <row r="54" spans="1:3" ht="13.5">
      <c r="A54" s="215">
        <v>4</v>
      </c>
      <c r="B54" s="454" t="s">
        <v>426</v>
      </c>
      <c r="C54" s="215">
        <v>2</v>
      </c>
    </row>
    <row r="55" spans="1:3" ht="14.25">
      <c r="A55" s="215"/>
      <c r="B55" s="223"/>
      <c r="C55" s="436"/>
    </row>
    <row r="56" spans="1:3" ht="14.25">
      <c r="A56" s="215" t="s">
        <v>213</v>
      </c>
      <c r="B56" s="437" t="s">
        <v>281</v>
      </c>
      <c r="C56" s="215">
        <f>SUM(C58:C61)</f>
        <v>12</v>
      </c>
    </row>
    <row r="57" spans="1:3" ht="13.5">
      <c r="A57" s="215"/>
      <c r="B57" s="438" t="s">
        <v>156</v>
      </c>
      <c r="C57" s="215"/>
    </row>
    <row r="58" spans="1:3" ht="13.5">
      <c r="A58" s="215">
        <v>1</v>
      </c>
      <c r="B58" s="98" t="s">
        <v>750</v>
      </c>
      <c r="C58" s="215">
        <v>6</v>
      </c>
    </row>
    <row r="59" spans="1:3" ht="13.5">
      <c r="A59" s="215">
        <v>2</v>
      </c>
      <c r="B59" s="98" t="s">
        <v>954</v>
      </c>
      <c r="C59" s="215">
        <v>6</v>
      </c>
    </row>
    <row r="60" spans="1:3" ht="13.5">
      <c r="A60" s="215">
        <v>3</v>
      </c>
      <c r="B60" s="98"/>
      <c r="C60" s="215"/>
    </row>
    <row r="61" spans="1:3" ht="13.5">
      <c r="A61" s="215">
        <v>4</v>
      </c>
      <c r="B61" s="98"/>
      <c r="C61" s="215"/>
    </row>
    <row r="62" spans="1:3" ht="28.5">
      <c r="A62" s="215" t="s">
        <v>9</v>
      </c>
      <c r="B62" s="28" t="s">
        <v>212</v>
      </c>
      <c r="C62" s="215">
        <v>10</v>
      </c>
    </row>
    <row r="63" spans="1:3" ht="13.5">
      <c r="A63" s="215"/>
      <c r="B63" s="98"/>
      <c r="C63" s="215"/>
    </row>
    <row r="64" spans="1:3" s="221" customFormat="1" ht="30.75" customHeight="1">
      <c r="A64" s="220"/>
      <c r="B64" s="439" t="s">
        <v>214</v>
      </c>
      <c r="C64" s="220">
        <f>+C13+C16+C21+C22+C23+C56+C62</f>
        <v>87</v>
      </c>
    </row>
  </sheetData>
  <sheetProtection/>
  <mergeCells count="4">
    <mergeCell ref="B9:C9"/>
    <mergeCell ref="A5:C5"/>
    <mergeCell ref="A6:C6"/>
    <mergeCell ref="B4:C4"/>
  </mergeCells>
  <printOptions/>
  <pageMargins left="0.24" right="0.35" top="0.37" bottom="0.4" header="0.21" footer="0.19"/>
  <pageSetup horizontalDpi="600" verticalDpi="600" orientation="portrait" paperSize="9" scale="7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L172"/>
  <sheetViews>
    <sheetView zoomScale="80" zoomScaleNormal="80" zoomScalePageLayoutView="0" workbookViewId="0" topLeftCell="A154">
      <selection activeCell="H181" sqref="H181:I181"/>
    </sheetView>
  </sheetViews>
  <sheetFormatPr defaultColWidth="9.140625" defaultRowHeight="12.75"/>
  <cols>
    <col min="1" max="1" width="3.57421875" style="466" customWidth="1"/>
    <col min="2" max="2" width="29.421875" style="468" customWidth="1"/>
    <col min="3" max="3" width="16.00390625" style="468" customWidth="1"/>
    <col min="4" max="4" width="14.8515625" style="468" customWidth="1"/>
    <col min="5" max="5" width="11.140625" style="468" customWidth="1"/>
    <col min="6" max="6" width="15.7109375" style="468" customWidth="1"/>
    <col min="7" max="7" width="13.140625" style="468" customWidth="1"/>
    <col min="8" max="8" width="15.00390625" style="468" customWidth="1"/>
    <col min="9" max="9" width="13.8515625" style="468" customWidth="1"/>
    <col min="10" max="10" width="10.8515625" style="468" customWidth="1"/>
    <col min="11" max="11" width="14.7109375" style="468" customWidth="1"/>
    <col min="12" max="12" width="10.00390625" style="468" customWidth="1"/>
    <col min="13" max="13" width="15.00390625" style="468" customWidth="1"/>
    <col min="14" max="14" width="9.421875" style="468" customWidth="1"/>
    <col min="15" max="15" width="14.7109375" style="468" customWidth="1"/>
    <col min="16" max="16" width="11.57421875" style="468" customWidth="1"/>
    <col min="17" max="17" width="11.421875" style="468" customWidth="1"/>
    <col min="18" max="18" width="12.57421875" style="468" customWidth="1"/>
    <col min="19" max="19" width="8.8515625" style="468" customWidth="1"/>
    <col min="20" max="20" width="14.28125" style="468" customWidth="1"/>
    <col min="21" max="21" width="10.57421875" style="468" customWidth="1"/>
    <col min="22" max="22" width="12.140625" style="468" customWidth="1"/>
    <col min="23" max="23" width="13.00390625" style="468" customWidth="1"/>
    <col min="24" max="24" width="10.00390625" style="468" customWidth="1"/>
    <col min="25" max="25" width="15.7109375" style="468" customWidth="1"/>
    <col min="26" max="26" width="8.8515625" style="468" customWidth="1"/>
    <col min="27" max="27" width="14.57421875" style="468" customWidth="1"/>
    <col min="28" max="28" width="10.57421875" style="468" customWidth="1"/>
    <col min="29" max="29" width="10.421875" style="468" customWidth="1"/>
    <col min="30" max="30" width="12.28125" style="468" customWidth="1"/>
    <col min="31" max="31" width="11.421875" style="468" customWidth="1"/>
    <col min="32" max="32" width="15.421875" style="468" customWidth="1"/>
    <col min="33" max="33" width="15.00390625" style="468" customWidth="1"/>
    <col min="34" max="34" width="13.28125" style="468" customWidth="1"/>
    <col min="35" max="35" width="10.57421875" style="468" customWidth="1"/>
    <col min="36" max="36" width="11.00390625" style="468" customWidth="1"/>
    <col min="37" max="37" width="13.421875" style="468" customWidth="1"/>
    <col min="38" max="38" width="10.8515625" style="468" bestFit="1" customWidth="1"/>
    <col min="39" max="16384" width="9.140625" style="468" customWidth="1"/>
  </cols>
  <sheetData>
    <row r="1" spans="2:38" ht="16.5">
      <c r="B1" s="467" t="s">
        <v>173</v>
      </c>
      <c r="I1" s="469"/>
      <c r="K1" s="561" t="s">
        <v>219</v>
      </c>
      <c r="L1" s="469"/>
      <c r="Q1" s="469"/>
      <c r="R1" s="469"/>
      <c r="S1" s="469"/>
      <c r="U1" s="561"/>
      <c r="V1" s="469"/>
      <c r="AB1" s="470"/>
      <c r="AC1" s="469"/>
      <c r="AD1" s="469"/>
      <c r="AI1" s="470"/>
      <c r="AJ1" s="469"/>
      <c r="AK1" s="469"/>
      <c r="AL1" s="470"/>
    </row>
    <row r="2" spans="2:38" ht="24" customHeight="1" thickBot="1">
      <c r="B2" s="648" t="s">
        <v>427</v>
      </c>
      <c r="C2" s="648"/>
      <c r="D2" s="471"/>
      <c r="E2" s="472"/>
      <c r="F2" s="471"/>
      <c r="G2" s="471"/>
      <c r="H2" s="471"/>
      <c r="J2" s="473"/>
      <c r="K2" s="474" t="s">
        <v>11</v>
      </c>
      <c r="L2" s="473"/>
      <c r="M2" s="475"/>
      <c r="N2" s="475"/>
      <c r="O2" s="473"/>
      <c r="P2" s="473"/>
      <c r="Q2" s="475"/>
      <c r="R2" s="476"/>
      <c r="S2" s="649"/>
      <c r="T2" s="649"/>
      <c r="U2" s="649"/>
      <c r="V2" s="649"/>
      <c r="W2" s="649"/>
      <c r="X2" s="649"/>
      <c r="Y2" s="475"/>
      <c r="Z2" s="475"/>
      <c r="AA2" s="475"/>
      <c r="AB2" s="476"/>
      <c r="AC2" s="475"/>
      <c r="AD2" s="476"/>
      <c r="AE2" s="473"/>
      <c r="AF2" s="475"/>
      <c r="AG2" s="475"/>
      <c r="AH2" s="475"/>
      <c r="AI2" s="476"/>
      <c r="AJ2" s="475"/>
      <c r="AK2" s="476"/>
      <c r="AL2" s="473"/>
    </row>
    <row r="3" spans="1:36" s="481" customFormat="1" ht="25.5" customHeight="1">
      <c r="A3" s="466"/>
      <c r="B3" s="477" t="s">
        <v>12</v>
      </c>
      <c r="C3" s="469"/>
      <c r="D3" s="469"/>
      <c r="E3" s="478"/>
      <c r="F3" s="469"/>
      <c r="G3" s="468"/>
      <c r="H3" s="468"/>
      <c r="I3" s="468"/>
      <c r="J3" s="468"/>
      <c r="K3" s="479" t="s">
        <v>171</v>
      </c>
      <c r="L3" s="480"/>
      <c r="M3" s="469"/>
      <c r="N3" s="468"/>
      <c r="O3" s="468"/>
      <c r="P3" s="468"/>
      <c r="Q3" s="468"/>
      <c r="S3" s="468"/>
      <c r="T3" s="468"/>
      <c r="U3" s="468"/>
      <c r="V3" s="468"/>
      <c r="W3" s="479" t="s">
        <v>171</v>
      </c>
      <c r="X3" s="480"/>
      <c r="Y3" s="469"/>
      <c r="Z3" s="468"/>
      <c r="AA3" s="468"/>
      <c r="AB3" s="468"/>
      <c r="AC3" s="468"/>
      <c r="AE3" s="480"/>
      <c r="AF3" s="469"/>
      <c r="AG3" s="468"/>
      <c r="AH3" s="468"/>
      <c r="AI3" s="468"/>
      <c r="AJ3" s="468"/>
    </row>
    <row r="4" spans="1:37" s="493" customFormat="1" ht="14.25">
      <c r="A4" s="482"/>
      <c r="B4" s="483"/>
      <c r="C4" s="484"/>
      <c r="D4" s="485"/>
      <c r="E4" s="486"/>
      <c r="F4" s="485">
        <f>F4:H11</f>
        <v>0</v>
      </c>
      <c r="G4" s="485"/>
      <c r="H4" s="486" t="s">
        <v>349</v>
      </c>
      <c r="I4" s="485"/>
      <c r="J4" s="485"/>
      <c r="K4" s="487"/>
      <c r="L4" s="488"/>
      <c r="M4" s="485"/>
      <c r="N4" s="488"/>
      <c r="O4" s="488" t="s">
        <v>342</v>
      </c>
      <c r="P4" s="488"/>
      <c r="Q4" s="488"/>
      <c r="R4" s="489"/>
      <c r="S4" s="647" t="s">
        <v>172</v>
      </c>
      <c r="T4" s="647"/>
      <c r="U4" s="647"/>
      <c r="V4" s="647"/>
      <c r="W4" s="647"/>
      <c r="X4" s="490" t="s">
        <v>345</v>
      </c>
      <c r="Y4" s="491"/>
      <c r="Z4" s="491"/>
      <c r="AA4" s="491"/>
      <c r="AB4" s="491"/>
      <c r="AC4" s="491"/>
      <c r="AD4" s="492"/>
      <c r="AE4" s="490" t="s">
        <v>374</v>
      </c>
      <c r="AF4" s="491"/>
      <c r="AG4" s="491"/>
      <c r="AH4" s="491"/>
      <c r="AI4" s="491"/>
      <c r="AJ4" s="491"/>
      <c r="AK4" s="492"/>
    </row>
    <row r="5" spans="1:37" s="173" customFormat="1" ht="76.5">
      <c r="A5" s="219" t="s">
        <v>97</v>
      </c>
      <c r="B5" s="278" t="s">
        <v>174</v>
      </c>
      <c r="C5" s="62" t="s">
        <v>175</v>
      </c>
      <c r="D5" s="62" t="s">
        <v>176</v>
      </c>
      <c r="E5" s="62" t="s">
        <v>167</v>
      </c>
      <c r="F5" s="464" t="s">
        <v>352</v>
      </c>
      <c r="G5" s="465" t="s">
        <v>343</v>
      </c>
      <c r="H5" s="258" t="s">
        <v>284</v>
      </c>
      <c r="I5" s="62" t="s">
        <v>177</v>
      </c>
      <c r="J5" s="62" t="s">
        <v>178</v>
      </c>
      <c r="K5" s="62" t="s">
        <v>218</v>
      </c>
      <c r="L5" s="62" t="s">
        <v>167</v>
      </c>
      <c r="M5" s="464" t="s">
        <v>428</v>
      </c>
      <c r="N5" s="465" t="s">
        <v>429</v>
      </c>
      <c r="O5" s="62" t="s">
        <v>199</v>
      </c>
      <c r="P5" s="62" t="s">
        <v>177</v>
      </c>
      <c r="Q5" s="62" t="s">
        <v>178</v>
      </c>
      <c r="R5" s="62" t="s">
        <v>217</v>
      </c>
      <c r="S5" s="62" t="s">
        <v>167</v>
      </c>
      <c r="T5" s="62" t="s">
        <v>199</v>
      </c>
      <c r="U5" s="62" t="s">
        <v>177</v>
      </c>
      <c r="V5" s="62" t="s">
        <v>178</v>
      </c>
      <c r="W5" s="62" t="s">
        <v>216</v>
      </c>
      <c r="X5" s="62" t="s">
        <v>167</v>
      </c>
      <c r="Y5" s="464" t="s">
        <v>352</v>
      </c>
      <c r="Z5" s="465" t="s">
        <v>350</v>
      </c>
      <c r="AA5" s="258" t="s">
        <v>284</v>
      </c>
      <c r="AB5" s="62" t="s">
        <v>177</v>
      </c>
      <c r="AC5" s="62" t="s">
        <v>178</v>
      </c>
      <c r="AD5" s="62" t="s">
        <v>353</v>
      </c>
      <c r="AE5" s="62" t="s">
        <v>167</v>
      </c>
      <c r="AF5" s="464" t="s">
        <v>354</v>
      </c>
      <c r="AG5" s="465" t="s">
        <v>351</v>
      </c>
      <c r="AH5" s="258" t="s">
        <v>284</v>
      </c>
      <c r="AI5" s="62" t="s">
        <v>177</v>
      </c>
      <c r="AJ5" s="62" t="s">
        <v>178</v>
      </c>
      <c r="AK5" s="62" t="s">
        <v>353</v>
      </c>
    </row>
    <row r="6" spans="1:37" s="495" customFormat="1" ht="12.75">
      <c r="A6" s="494">
        <v>1</v>
      </c>
      <c r="B6" s="494">
        <v>2</v>
      </c>
      <c r="C6" s="494">
        <v>3</v>
      </c>
      <c r="D6" s="494">
        <v>4</v>
      </c>
      <c r="E6" s="494">
        <v>5</v>
      </c>
      <c r="F6" s="494">
        <v>6</v>
      </c>
      <c r="G6" s="494">
        <v>7</v>
      </c>
      <c r="H6" s="494">
        <v>8</v>
      </c>
      <c r="I6" s="494">
        <v>9</v>
      </c>
      <c r="J6" s="494">
        <v>10</v>
      </c>
      <c r="K6" s="494">
        <v>11</v>
      </c>
      <c r="L6" s="494">
        <v>12</v>
      </c>
      <c r="M6" s="494">
        <v>13</v>
      </c>
      <c r="N6" s="494">
        <v>14</v>
      </c>
      <c r="O6" s="494">
        <v>15</v>
      </c>
      <c r="P6" s="494">
        <v>16</v>
      </c>
      <c r="Q6" s="494">
        <v>17</v>
      </c>
      <c r="R6" s="494">
        <v>18</v>
      </c>
      <c r="S6" s="494">
        <v>19</v>
      </c>
      <c r="T6" s="494">
        <v>20</v>
      </c>
      <c r="U6" s="494">
        <v>21</v>
      </c>
      <c r="V6" s="494">
        <v>22</v>
      </c>
      <c r="W6" s="494">
        <v>23</v>
      </c>
      <c r="X6" s="494">
        <v>24</v>
      </c>
      <c r="Y6" s="494">
        <v>25</v>
      </c>
      <c r="Z6" s="494">
        <v>26</v>
      </c>
      <c r="AA6" s="494">
        <v>27</v>
      </c>
      <c r="AB6" s="494">
        <v>28</v>
      </c>
      <c r="AC6" s="494">
        <v>29</v>
      </c>
      <c r="AD6" s="494">
        <v>30</v>
      </c>
      <c r="AE6" s="494">
        <v>31</v>
      </c>
      <c r="AF6" s="494">
        <v>32</v>
      </c>
      <c r="AG6" s="494">
        <v>33</v>
      </c>
      <c r="AH6" s="494">
        <v>34</v>
      </c>
      <c r="AI6" s="494">
        <v>35</v>
      </c>
      <c r="AJ6" s="494">
        <v>36</v>
      </c>
      <c r="AK6" s="494">
        <v>37</v>
      </c>
    </row>
    <row r="7" spans="1:37" ht="18.75" customHeight="1">
      <c r="A7" s="496" t="s">
        <v>2</v>
      </c>
      <c r="B7" s="497" t="s">
        <v>282</v>
      </c>
      <c r="C7" s="570"/>
      <c r="D7" s="570"/>
      <c r="E7" s="497"/>
      <c r="F7" s="570"/>
      <c r="G7" s="570"/>
      <c r="H7" s="570"/>
      <c r="I7" s="570"/>
      <c r="J7" s="570"/>
      <c r="K7" s="570"/>
      <c r="L7" s="497"/>
      <c r="M7" s="570"/>
      <c r="N7" s="570"/>
      <c r="O7" s="570"/>
      <c r="P7" s="570"/>
      <c r="Q7" s="570"/>
      <c r="R7" s="570"/>
      <c r="S7" s="570"/>
      <c r="T7" s="570"/>
      <c r="U7" s="570"/>
      <c r="V7" s="570"/>
      <c r="W7" s="570"/>
      <c r="X7" s="497"/>
      <c r="Y7" s="570"/>
      <c r="Z7" s="570"/>
      <c r="AA7" s="570"/>
      <c r="AB7" s="570"/>
      <c r="AC7" s="570"/>
      <c r="AD7" s="570"/>
      <c r="AE7" s="497"/>
      <c r="AF7" s="570"/>
      <c r="AG7" s="570"/>
      <c r="AH7" s="570"/>
      <c r="AI7" s="570"/>
      <c r="AJ7" s="570"/>
      <c r="AK7" s="570"/>
    </row>
    <row r="8" spans="1:37" ht="13.5">
      <c r="A8" s="498"/>
      <c r="B8" s="499" t="s">
        <v>156</v>
      </c>
      <c r="C8" s="570"/>
      <c r="D8" s="570"/>
      <c r="E8" s="499"/>
      <c r="F8" s="570"/>
      <c r="G8" s="570"/>
      <c r="H8" s="570"/>
      <c r="I8" s="570"/>
      <c r="J8" s="570"/>
      <c r="K8" s="570"/>
      <c r="L8" s="499"/>
      <c r="M8" s="570"/>
      <c r="N8" s="570"/>
      <c r="O8" s="570"/>
      <c r="P8" s="570"/>
      <c r="Q8" s="570"/>
      <c r="R8" s="570"/>
      <c r="S8" s="570"/>
      <c r="T8" s="570"/>
      <c r="U8" s="570"/>
      <c r="V8" s="570"/>
      <c r="W8" s="570"/>
      <c r="X8" s="499"/>
      <c r="Y8" s="570"/>
      <c r="Z8" s="570"/>
      <c r="AA8" s="570"/>
      <c r="AB8" s="570"/>
      <c r="AC8" s="570"/>
      <c r="AD8" s="570"/>
      <c r="AE8" s="499"/>
      <c r="AF8" s="570"/>
      <c r="AG8" s="570"/>
      <c r="AH8" s="570"/>
      <c r="AI8" s="570"/>
      <c r="AJ8" s="570"/>
      <c r="AK8" s="570"/>
    </row>
    <row r="9" spans="1:37" ht="21" customHeight="1">
      <c r="A9" s="496">
        <v>1</v>
      </c>
      <c r="B9" s="500" t="s">
        <v>430</v>
      </c>
      <c r="C9" s="501" t="s">
        <v>431</v>
      </c>
      <c r="D9" s="502" t="s">
        <v>1</v>
      </c>
      <c r="E9" s="500">
        <v>1</v>
      </c>
      <c r="F9" s="502" t="s">
        <v>1</v>
      </c>
      <c r="G9" s="570">
        <v>10</v>
      </c>
      <c r="H9" s="498">
        <f>G9*66140</f>
        <v>661400</v>
      </c>
      <c r="I9" s="498"/>
      <c r="J9" s="498"/>
      <c r="K9" s="570">
        <f>H9+I9+J9</f>
        <v>661400</v>
      </c>
      <c r="L9" s="500">
        <v>1</v>
      </c>
      <c r="M9" s="502" t="s">
        <v>1</v>
      </c>
      <c r="N9" s="570">
        <v>10</v>
      </c>
      <c r="O9" s="498">
        <f>N9*66140</f>
        <v>661400</v>
      </c>
      <c r="P9" s="498"/>
      <c r="Q9" s="498"/>
      <c r="R9" s="570">
        <f>O9+P9+Q9</f>
        <v>661400</v>
      </c>
      <c r="S9" s="570">
        <f>+E9-L9</f>
        <v>0</v>
      </c>
      <c r="T9" s="570">
        <f aca="true" t="shared" si="0" ref="T9:V12">H9-O9</f>
        <v>0</v>
      </c>
      <c r="U9" s="570">
        <f t="shared" si="0"/>
        <v>0</v>
      </c>
      <c r="V9" s="570">
        <f t="shared" si="0"/>
        <v>0</v>
      </c>
      <c r="W9" s="570">
        <f>T9+U9+V9</f>
        <v>0</v>
      </c>
      <c r="X9" s="500">
        <v>1</v>
      </c>
      <c r="Y9" s="502" t="s">
        <v>1</v>
      </c>
      <c r="Z9" s="570">
        <v>10</v>
      </c>
      <c r="AA9" s="498">
        <f>Z9*66140</f>
        <v>661400</v>
      </c>
      <c r="AB9" s="498"/>
      <c r="AC9" s="498"/>
      <c r="AD9" s="570">
        <f>AA9+AB9+AC9</f>
        <v>661400</v>
      </c>
      <c r="AE9" s="500">
        <v>1</v>
      </c>
      <c r="AF9" s="502" t="s">
        <v>1</v>
      </c>
      <c r="AG9" s="570">
        <v>10</v>
      </c>
      <c r="AH9" s="498">
        <f>AG9*66140</f>
        <v>661400</v>
      </c>
      <c r="AI9" s="498"/>
      <c r="AJ9" s="498"/>
      <c r="AK9" s="570">
        <f>AH9+AI9+AJ9</f>
        <v>661400</v>
      </c>
    </row>
    <row r="10" spans="1:37" ht="30" customHeight="1">
      <c r="A10" s="496">
        <v>2</v>
      </c>
      <c r="B10" s="500" t="s">
        <v>432</v>
      </c>
      <c r="C10" s="501" t="s">
        <v>433</v>
      </c>
      <c r="D10" s="502" t="s">
        <v>1</v>
      </c>
      <c r="E10" s="500">
        <v>1</v>
      </c>
      <c r="F10" s="502" t="s">
        <v>1</v>
      </c>
      <c r="G10" s="570">
        <v>8</v>
      </c>
      <c r="H10" s="498">
        <f>G10*66140</f>
        <v>529120</v>
      </c>
      <c r="I10" s="498"/>
      <c r="J10" s="498"/>
      <c r="K10" s="570">
        <f>H10+I10+J10</f>
        <v>529120</v>
      </c>
      <c r="L10" s="500">
        <v>1</v>
      </c>
      <c r="M10" s="502" t="s">
        <v>1</v>
      </c>
      <c r="N10" s="570">
        <v>8</v>
      </c>
      <c r="O10" s="498">
        <f>N10*66140</f>
        <v>529120</v>
      </c>
      <c r="P10" s="498"/>
      <c r="Q10" s="498"/>
      <c r="R10" s="570">
        <f>O10+P10+Q10</f>
        <v>529120</v>
      </c>
      <c r="S10" s="570">
        <f>+E10-L10</f>
        <v>0</v>
      </c>
      <c r="T10" s="570">
        <f t="shared" si="0"/>
        <v>0</v>
      </c>
      <c r="U10" s="570">
        <f t="shared" si="0"/>
        <v>0</v>
      </c>
      <c r="V10" s="570">
        <f t="shared" si="0"/>
        <v>0</v>
      </c>
      <c r="W10" s="570">
        <f>T10+U10+V10</f>
        <v>0</v>
      </c>
      <c r="X10" s="500">
        <v>1</v>
      </c>
      <c r="Y10" s="502" t="s">
        <v>1</v>
      </c>
      <c r="Z10" s="570">
        <v>8</v>
      </c>
      <c r="AA10" s="498">
        <f>Z10*66140</f>
        <v>529120</v>
      </c>
      <c r="AB10" s="498"/>
      <c r="AC10" s="498"/>
      <c r="AD10" s="570">
        <f>AA10+AB10+AC10</f>
        <v>529120</v>
      </c>
      <c r="AE10" s="500">
        <v>1</v>
      </c>
      <c r="AF10" s="502" t="s">
        <v>1</v>
      </c>
      <c r="AG10" s="570">
        <v>8</v>
      </c>
      <c r="AH10" s="498">
        <f>AG10*66140</f>
        <v>529120</v>
      </c>
      <c r="AI10" s="498"/>
      <c r="AJ10" s="498"/>
      <c r="AK10" s="570">
        <f>AH10+AI10+AJ10</f>
        <v>529120</v>
      </c>
    </row>
    <row r="11" spans="1:37" ht="27.75" customHeight="1">
      <c r="A11" s="496">
        <v>3</v>
      </c>
      <c r="B11" s="500" t="s">
        <v>434</v>
      </c>
      <c r="C11" s="501" t="s">
        <v>433</v>
      </c>
      <c r="D11" s="502" t="s">
        <v>1</v>
      </c>
      <c r="E11" s="500">
        <v>1</v>
      </c>
      <c r="F11" s="502" t="s">
        <v>1</v>
      </c>
      <c r="G11" s="570">
        <v>8</v>
      </c>
      <c r="H11" s="498">
        <f>G11*66140</f>
        <v>529120</v>
      </c>
      <c r="I11" s="498"/>
      <c r="J11" s="498"/>
      <c r="K11" s="570">
        <f>H11+I11+J11</f>
        <v>529120</v>
      </c>
      <c r="L11" s="500">
        <v>1</v>
      </c>
      <c r="M11" s="502" t="s">
        <v>1</v>
      </c>
      <c r="N11" s="570">
        <v>8</v>
      </c>
      <c r="O11" s="498">
        <f>N11*66140</f>
        <v>529120</v>
      </c>
      <c r="P11" s="498"/>
      <c r="Q11" s="498"/>
      <c r="R11" s="570">
        <f>O11+P11+Q11</f>
        <v>529120</v>
      </c>
      <c r="S11" s="570">
        <f>+E11-L11</f>
        <v>0</v>
      </c>
      <c r="T11" s="570">
        <f t="shared" si="0"/>
        <v>0</v>
      </c>
      <c r="U11" s="570">
        <f t="shared" si="0"/>
        <v>0</v>
      </c>
      <c r="V11" s="570">
        <f t="shared" si="0"/>
        <v>0</v>
      </c>
      <c r="W11" s="570">
        <f>T11+U11+V11</f>
        <v>0</v>
      </c>
      <c r="X11" s="500">
        <v>1</v>
      </c>
      <c r="Y11" s="502" t="s">
        <v>1</v>
      </c>
      <c r="Z11" s="570">
        <v>8</v>
      </c>
      <c r="AA11" s="498">
        <f>Z11*66140</f>
        <v>529120</v>
      </c>
      <c r="AB11" s="498"/>
      <c r="AC11" s="498"/>
      <c r="AD11" s="570">
        <f>AA11+AB11+AC11</f>
        <v>529120</v>
      </c>
      <c r="AE11" s="500">
        <v>1</v>
      </c>
      <c r="AF11" s="502" t="s">
        <v>1</v>
      </c>
      <c r="AG11" s="570">
        <v>8</v>
      </c>
      <c r="AH11" s="498">
        <f>AG11*66140</f>
        <v>529120</v>
      </c>
      <c r="AI11" s="498"/>
      <c r="AJ11" s="498"/>
      <c r="AK11" s="570">
        <f>AH11+AI11+AJ11</f>
        <v>529120</v>
      </c>
    </row>
    <row r="12" spans="1:37" ht="26.25" customHeight="1">
      <c r="A12" s="496">
        <v>4</v>
      </c>
      <c r="B12" s="500"/>
      <c r="C12" s="501" t="s">
        <v>433</v>
      </c>
      <c r="D12" s="502" t="s">
        <v>1</v>
      </c>
      <c r="E12" s="500">
        <v>1</v>
      </c>
      <c r="F12" s="502" t="s">
        <v>1</v>
      </c>
      <c r="G12" s="570">
        <v>8</v>
      </c>
      <c r="H12" s="498">
        <f>G12*66140</f>
        <v>529120</v>
      </c>
      <c r="I12" s="498"/>
      <c r="J12" s="498"/>
      <c r="K12" s="570">
        <f>H12+I12+J12</f>
        <v>529120</v>
      </c>
      <c r="L12" s="500">
        <v>1</v>
      </c>
      <c r="M12" s="502" t="s">
        <v>1</v>
      </c>
      <c r="N12" s="570">
        <v>8</v>
      </c>
      <c r="O12" s="498">
        <f>N12*66140</f>
        <v>529120</v>
      </c>
      <c r="P12" s="498"/>
      <c r="Q12" s="498"/>
      <c r="R12" s="570">
        <f>O12+P12+Q12</f>
        <v>529120</v>
      </c>
      <c r="S12" s="570">
        <f>+E12-L12</f>
        <v>0</v>
      </c>
      <c r="T12" s="570">
        <f t="shared" si="0"/>
        <v>0</v>
      </c>
      <c r="U12" s="570">
        <f t="shared" si="0"/>
        <v>0</v>
      </c>
      <c r="V12" s="570">
        <f t="shared" si="0"/>
        <v>0</v>
      </c>
      <c r="W12" s="570">
        <f>T12+U12+V12</f>
        <v>0</v>
      </c>
      <c r="X12" s="500">
        <v>1</v>
      </c>
      <c r="Y12" s="502" t="s">
        <v>1</v>
      </c>
      <c r="Z12" s="570">
        <v>8</v>
      </c>
      <c r="AA12" s="498">
        <f>Z12*66140</f>
        <v>529120</v>
      </c>
      <c r="AB12" s="498"/>
      <c r="AC12" s="498"/>
      <c r="AD12" s="570">
        <f>AA12+AB12+AC12</f>
        <v>529120</v>
      </c>
      <c r="AE12" s="500">
        <v>1</v>
      </c>
      <c r="AF12" s="502" t="s">
        <v>1</v>
      </c>
      <c r="AG12" s="570">
        <v>8</v>
      </c>
      <c r="AH12" s="498">
        <f>AG12*66140</f>
        <v>529120</v>
      </c>
      <c r="AI12" s="498"/>
      <c r="AJ12" s="498"/>
      <c r="AK12" s="570">
        <f>AH12+AI12+AJ12</f>
        <v>529120</v>
      </c>
    </row>
    <row r="13" spans="1:37" s="505" customFormat="1" ht="21" customHeight="1">
      <c r="A13" s="496"/>
      <c r="B13" s="503" t="s">
        <v>96</v>
      </c>
      <c r="C13" s="502" t="s">
        <v>1</v>
      </c>
      <c r="D13" s="502" t="s">
        <v>1</v>
      </c>
      <c r="E13" s="502">
        <f>SUM(E9:E12)</f>
        <v>4</v>
      </c>
      <c r="F13" s="502" t="s">
        <v>1</v>
      </c>
      <c r="G13" s="502"/>
      <c r="H13" s="502">
        <f>SUM(H9:H12)</f>
        <v>2248760</v>
      </c>
      <c r="I13" s="502">
        <f>SUM(I9:I12)</f>
        <v>0</v>
      </c>
      <c r="J13" s="502">
        <f>SUM(J9:J12)</f>
        <v>0</v>
      </c>
      <c r="K13" s="502">
        <f>SUM(K9:K12)</f>
        <v>2248760</v>
      </c>
      <c r="L13" s="502">
        <f>SUM(L9:L12)</f>
        <v>4</v>
      </c>
      <c r="M13" s="502" t="s">
        <v>1</v>
      </c>
      <c r="N13" s="502"/>
      <c r="O13" s="502">
        <f>SUM(O9:O12)</f>
        <v>2248760</v>
      </c>
      <c r="P13" s="502">
        <f aca="true" t="shared" si="1" ref="P13:W13">SUM(P9:P12)</f>
        <v>0</v>
      </c>
      <c r="Q13" s="502">
        <f t="shared" si="1"/>
        <v>0</v>
      </c>
      <c r="R13" s="502">
        <f t="shared" si="1"/>
        <v>2248760</v>
      </c>
      <c r="S13" s="502">
        <f t="shared" si="1"/>
        <v>0</v>
      </c>
      <c r="T13" s="502">
        <f t="shared" si="1"/>
        <v>0</v>
      </c>
      <c r="U13" s="502">
        <f t="shared" si="1"/>
        <v>0</v>
      </c>
      <c r="V13" s="502">
        <f t="shared" si="1"/>
        <v>0</v>
      </c>
      <c r="W13" s="502">
        <f t="shared" si="1"/>
        <v>0</v>
      </c>
      <c r="X13" s="502">
        <f>SUM(X9:X12)</f>
        <v>4</v>
      </c>
      <c r="Y13" s="502" t="s">
        <v>1</v>
      </c>
      <c r="Z13" s="502"/>
      <c r="AA13" s="502">
        <f>SUM(AA9:AA12)</f>
        <v>2248760</v>
      </c>
      <c r="AB13" s="502">
        <f>SUM(AB9:AB12)</f>
        <v>0</v>
      </c>
      <c r="AC13" s="502">
        <f>SUM(AC9:AC12)</f>
        <v>0</v>
      </c>
      <c r="AD13" s="504">
        <f>SUM(AD9:AD12)</f>
        <v>2248760</v>
      </c>
      <c r="AE13" s="502">
        <f>SUM(AE9:AE12)</f>
        <v>4</v>
      </c>
      <c r="AF13" s="502" t="s">
        <v>1</v>
      </c>
      <c r="AG13" s="502"/>
      <c r="AH13" s="502">
        <f>SUM(AH9:AH12)</f>
        <v>2248760</v>
      </c>
      <c r="AI13" s="502">
        <f>SUM(AI9:AI12)</f>
        <v>0</v>
      </c>
      <c r="AJ13" s="502">
        <f>SUM(AJ9:AJ12)</f>
        <v>0</v>
      </c>
      <c r="AK13" s="504">
        <f>SUM(AK9:AK12)</f>
        <v>2248760</v>
      </c>
    </row>
    <row r="14" spans="1:37" ht="21" customHeight="1">
      <c r="A14" s="496"/>
      <c r="B14" s="503"/>
      <c r="C14" s="502"/>
      <c r="D14" s="502"/>
      <c r="E14" s="503"/>
      <c r="F14" s="503"/>
      <c r="G14" s="503"/>
      <c r="H14" s="503"/>
      <c r="I14" s="503"/>
      <c r="J14" s="503"/>
      <c r="K14" s="503"/>
      <c r="L14" s="503"/>
      <c r="M14" s="570"/>
      <c r="N14" s="503"/>
      <c r="O14" s="503"/>
      <c r="P14" s="503"/>
      <c r="Q14" s="503"/>
      <c r="R14" s="503"/>
      <c r="S14" s="570"/>
      <c r="T14" s="570"/>
      <c r="U14" s="570"/>
      <c r="V14" s="570"/>
      <c r="W14" s="570"/>
      <c r="X14" s="503"/>
      <c r="Y14" s="570"/>
      <c r="Z14" s="503"/>
      <c r="AA14" s="503"/>
      <c r="AB14" s="503"/>
      <c r="AC14" s="503"/>
      <c r="AD14" s="503"/>
      <c r="AE14" s="503"/>
      <c r="AF14" s="570"/>
      <c r="AG14" s="503"/>
      <c r="AH14" s="503"/>
      <c r="AI14" s="503"/>
      <c r="AJ14" s="503"/>
      <c r="AK14" s="503"/>
    </row>
    <row r="15" spans="1:37" ht="13.5" customHeight="1">
      <c r="A15" s="496"/>
      <c r="B15" s="503"/>
      <c r="C15" s="502"/>
      <c r="D15" s="502"/>
      <c r="E15" s="503"/>
      <c r="F15" s="503"/>
      <c r="G15" s="503"/>
      <c r="H15" s="503"/>
      <c r="I15" s="503"/>
      <c r="J15" s="503"/>
      <c r="K15" s="503"/>
      <c r="L15" s="503"/>
      <c r="M15" s="570"/>
      <c r="N15" s="503"/>
      <c r="O15" s="503"/>
      <c r="P15" s="503"/>
      <c r="Q15" s="503"/>
      <c r="R15" s="503"/>
      <c r="S15" s="570"/>
      <c r="T15" s="570"/>
      <c r="U15" s="570"/>
      <c r="V15" s="570"/>
      <c r="W15" s="570"/>
      <c r="X15" s="503"/>
      <c r="Y15" s="570"/>
      <c r="Z15" s="503"/>
      <c r="AA15" s="503"/>
      <c r="AB15" s="503"/>
      <c r="AC15" s="503"/>
      <c r="AD15" s="503"/>
      <c r="AE15" s="503"/>
      <c r="AF15" s="570"/>
      <c r="AG15" s="503"/>
      <c r="AH15" s="503"/>
      <c r="AI15" s="503"/>
      <c r="AJ15" s="503"/>
      <c r="AK15" s="503"/>
    </row>
    <row r="16" spans="1:37" ht="41.25" customHeight="1">
      <c r="A16" s="496" t="s">
        <v>3</v>
      </c>
      <c r="B16" s="497" t="s">
        <v>286</v>
      </c>
      <c r="C16" s="502"/>
      <c r="D16" s="502"/>
      <c r="E16" s="497"/>
      <c r="F16" s="497"/>
      <c r="G16" s="497"/>
      <c r="H16" s="497"/>
      <c r="I16" s="497"/>
      <c r="J16" s="497"/>
      <c r="K16" s="497"/>
      <c r="L16" s="497"/>
      <c r="M16" s="570"/>
      <c r="N16" s="497"/>
      <c r="O16" s="497"/>
      <c r="P16" s="497"/>
      <c r="Q16" s="497"/>
      <c r="R16" s="497"/>
      <c r="S16" s="570"/>
      <c r="T16" s="570"/>
      <c r="U16" s="570"/>
      <c r="V16" s="570"/>
      <c r="W16" s="570"/>
      <c r="X16" s="497"/>
      <c r="Y16" s="570"/>
      <c r="Z16" s="497"/>
      <c r="AA16" s="497"/>
      <c r="AB16" s="497"/>
      <c r="AC16" s="497"/>
      <c r="AD16" s="497"/>
      <c r="AE16" s="497"/>
      <c r="AF16" s="570"/>
      <c r="AG16" s="497"/>
      <c r="AH16" s="497"/>
      <c r="AI16" s="497"/>
      <c r="AJ16" s="497"/>
      <c r="AK16" s="497"/>
    </row>
    <row r="17" spans="1:37" ht="21" customHeight="1">
      <c r="A17" s="496"/>
      <c r="B17" s="506" t="s">
        <v>156</v>
      </c>
      <c r="C17" s="502"/>
      <c r="D17" s="502"/>
      <c r="E17" s="506"/>
      <c r="F17" s="506"/>
      <c r="G17" s="506"/>
      <c r="H17" s="499"/>
      <c r="I17" s="499"/>
      <c r="J17" s="499"/>
      <c r="K17" s="499"/>
      <c r="L17" s="506"/>
      <c r="M17" s="570"/>
      <c r="N17" s="506"/>
      <c r="O17" s="499"/>
      <c r="P17" s="499"/>
      <c r="Q17" s="499"/>
      <c r="R17" s="499"/>
      <c r="S17" s="570"/>
      <c r="T17" s="570"/>
      <c r="U17" s="570"/>
      <c r="V17" s="570"/>
      <c r="W17" s="570"/>
      <c r="X17" s="506"/>
      <c r="Y17" s="570"/>
      <c r="Z17" s="506"/>
      <c r="AA17" s="499"/>
      <c r="AB17" s="499"/>
      <c r="AC17" s="499"/>
      <c r="AD17" s="499"/>
      <c r="AE17" s="506"/>
      <c r="AF17" s="570"/>
      <c r="AG17" s="506"/>
      <c r="AH17" s="499"/>
      <c r="AI17" s="499"/>
      <c r="AJ17" s="499"/>
      <c r="AK17" s="499"/>
    </row>
    <row r="18" spans="1:37" ht="27.75" customHeight="1">
      <c r="A18" s="496">
        <v>1</v>
      </c>
      <c r="B18" s="581" t="s">
        <v>435</v>
      </c>
      <c r="C18" s="501" t="s">
        <v>436</v>
      </c>
      <c r="D18" s="502" t="s">
        <v>1</v>
      </c>
      <c r="E18" s="500">
        <v>1</v>
      </c>
      <c r="F18" s="502" t="s">
        <v>1</v>
      </c>
      <c r="G18" s="507">
        <v>4.75</v>
      </c>
      <c r="H18" s="498">
        <f>G18*66140*E18</f>
        <v>314165</v>
      </c>
      <c r="I18" s="508"/>
      <c r="J18" s="508"/>
      <c r="K18" s="570">
        <f>H18+I18+J18</f>
        <v>314165</v>
      </c>
      <c r="L18" s="500">
        <v>1</v>
      </c>
      <c r="M18" s="502" t="s">
        <v>1</v>
      </c>
      <c r="N18" s="507">
        <v>4.75</v>
      </c>
      <c r="O18" s="498">
        <f>N18*66140</f>
        <v>314165</v>
      </c>
      <c r="P18" s="508"/>
      <c r="Q18" s="508"/>
      <c r="R18" s="570">
        <f>O18+P18+Q18</f>
        <v>314165</v>
      </c>
      <c r="S18" s="570">
        <f aca="true" t="shared" si="2" ref="S18:S79">+E18-L18</f>
        <v>0</v>
      </c>
      <c r="T18" s="570">
        <f aca="true" t="shared" si="3" ref="T18:V79">H18-O18</f>
        <v>0</v>
      </c>
      <c r="U18" s="570">
        <f t="shared" si="3"/>
        <v>0</v>
      </c>
      <c r="V18" s="570">
        <f t="shared" si="3"/>
        <v>0</v>
      </c>
      <c r="W18" s="570">
        <f aca="true" t="shared" si="4" ref="W18:W79">T18+U18+V18</f>
        <v>0</v>
      </c>
      <c r="X18" s="500">
        <v>1</v>
      </c>
      <c r="Y18" s="502" t="s">
        <v>1</v>
      </c>
      <c r="Z18" s="507">
        <v>4.75</v>
      </c>
      <c r="AA18" s="498">
        <f>Z18*66140*X18</f>
        <v>314165</v>
      </c>
      <c r="AB18" s="508"/>
      <c r="AC18" s="508"/>
      <c r="AD18" s="570">
        <f>AA18+AB18+AC18</f>
        <v>314165</v>
      </c>
      <c r="AE18" s="500">
        <v>1</v>
      </c>
      <c r="AF18" s="502" t="s">
        <v>1</v>
      </c>
      <c r="AG18" s="507">
        <v>4.75</v>
      </c>
      <c r="AH18" s="498">
        <f>AG18*66140*AE18</f>
        <v>314165</v>
      </c>
      <c r="AI18" s="508"/>
      <c r="AJ18" s="508"/>
      <c r="AK18" s="570">
        <f>AH18+AI18+AJ18</f>
        <v>314165</v>
      </c>
    </row>
    <row r="19" spans="1:37" ht="29.25" customHeight="1">
      <c r="A19" s="496">
        <v>2</v>
      </c>
      <c r="B19" s="581" t="s">
        <v>437</v>
      </c>
      <c r="C19" s="501" t="s">
        <v>438</v>
      </c>
      <c r="D19" s="502" t="s">
        <v>1</v>
      </c>
      <c r="E19" s="500">
        <v>1</v>
      </c>
      <c r="F19" s="502" t="s">
        <v>1</v>
      </c>
      <c r="G19" s="570">
        <v>4.5</v>
      </c>
      <c r="H19" s="498">
        <f>G19*66140*E19</f>
        <v>297630</v>
      </c>
      <c r="I19" s="508"/>
      <c r="J19" s="508"/>
      <c r="K19" s="570">
        <f>H19+I19+J19</f>
        <v>297630</v>
      </c>
      <c r="L19" s="500">
        <v>1</v>
      </c>
      <c r="M19" s="502" t="s">
        <v>1</v>
      </c>
      <c r="N19" s="570">
        <v>4.5</v>
      </c>
      <c r="O19" s="498">
        <f>N19*66140*L19</f>
        <v>297630</v>
      </c>
      <c r="P19" s="508"/>
      <c r="Q19" s="508"/>
      <c r="R19" s="570">
        <f>O19+P19+Q19</f>
        <v>297630</v>
      </c>
      <c r="S19" s="570">
        <f t="shared" si="2"/>
        <v>0</v>
      </c>
      <c r="T19" s="570">
        <f t="shared" si="3"/>
        <v>0</v>
      </c>
      <c r="U19" s="570">
        <f t="shared" si="3"/>
        <v>0</v>
      </c>
      <c r="V19" s="570">
        <f t="shared" si="3"/>
        <v>0</v>
      </c>
      <c r="W19" s="570">
        <f t="shared" si="4"/>
        <v>0</v>
      </c>
      <c r="X19" s="500">
        <v>1</v>
      </c>
      <c r="Y19" s="502" t="s">
        <v>1</v>
      </c>
      <c r="Z19" s="570">
        <v>4.5</v>
      </c>
      <c r="AA19" s="498">
        <f>Z19*66140*X19</f>
        <v>297630</v>
      </c>
      <c r="AB19" s="508"/>
      <c r="AC19" s="508"/>
      <c r="AD19" s="570">
        <f>AA19+AB19+AC19</f>
        <v>297630</v>
      </c>
      <c r="AE19" s="500">
        <v>1</v>
      </c>
      <c r="AF19" s="502" t="s">
        <v>1</v>
      </c>
      <c r="AG19" s="570">
        <v>4.5</v>
      </c>
      <c r="AH19" s="498">
        <f>AG19*66140*AE19</f>
        <v>297630</v>
      </c>
      <c r="AI19" s="508"/>
      <c r="AJ19" s="508"/>
      <c r="AK19" s="570">
        <f>AH19+AI19+AJ19</f>
        <v>297630</v>
      </c>
    </row>
    <row r="20" spans="1:37" ht="32.25" customHeight="1">
      <c r="A20" s="496">
        <v>3</v>
      </c>
      <c r="B20" s="581" t="s">
        <v>439</v>
      </c>
      <c r="C20" s="501" t="s">
        <v>438</v>
      </c>
      <c r="D20" s="502" t="s">
        <v>1</v>
      </c>
      <c r="E20" s="500">
        <v>0.5</v>
      </c>
      <c r="F20" s="502" t="s">
        <v>1</v>
      </c>
      <c r="G20" s="570">
        <v>4.5</v>
      </c>
      <c r="H20" s="498">
        <f>G20*66140*E20</f>
        <v>148815</v>
      </c>
      <c r="I20" s="508"/>
      <c r="J20" s="508"/>
      <c r="K20" s="570">
        <f>H20+I20+J20</f>
        <v>148815</v>
      </c>
      <c r="L20" s="500">
        <v>0.5</v>
      </c>
      <c r="M20" s="502" t="s">
        <v>1</v>
      </c>
      <c r="N20" s="570">
        <v>4.5</v>
      </c>
      <c r="O20" s="498">
        <f>N20*66140*L20</f>
        <v>148815</v>
      </c>
      <c r="P20" s="508"/>
      <c r="Q20" s="508"/>
      <c r="R20" s="570">
        <f>O20+P20+Q20</f>
        <v>148815</v>
      </c>
      <c r="S20" s="570">
        <f t="shared" si="2"/>
        <v>0</v>
      </c>
      <c r="T20" s="570">
        <f t="shared" si="3"/>
        <v>0</v>
      </c>
      <c r="U20" s="570">
        <f t="shared" si="3"/>
        <v>0</v>
      </c>
      <c r="V20" s="570">
        <f t="shared" si="3"/>
        <v>0</v>
      </c>
      <c r="W20" s="570">
        <f t="shared" si="4"/>
        <v>0</v>
      </c>
      <c r="X20" s="500">
        <v>0.5</v>
      </c>
      <c r="Y20" s="502" t="s">
        <v>1</v>
      </c>
      <c r="Z20" s="570">
        <v>4.5</v>
      </c>
      <c r="AA20" s="498">
        <f>Z20*66140*X20</f>
        <v>148815</v>
      </c>
      <c r="AB20" s="508"/>
      <c r="AC20" s="508"/>
      <c r="AD20" s="570">
        <f>AA20+AB20+AC20</f>
        <v>148815</v>
      </c>
      <c r="AE20" s="500">
        <v>0.5</v>
      </c>
      <c r="AF20" s="502" t="s">
        <v>1</v>
      </c>
      <c r="AG20" s="570">
        <v>4.5</v>
      </c>
      <c r="AH20" s="498">
        <f>AG20*66140*AE20</f>
        <v>148815</v>
      </c>
      <c r="AI20" s="508"/>
      <c r="AJ20" s="508"/>
      <c r="AK20" s="570">
        <f>AH20+AI20+AJ20</f>
        <v>148815</v>
      </c>
    </row>
    <row r="21" spans="1:37" ht="32.25" customHeight="1">
      <c r="A21" s="496">
        <v>4</v>
      </c>
      <c r="B21" s="581" t="s">
        <v>440</v>
      </c>
      <c r="C21" s="501" t="s">
        <v>438</v>
      </c>
      <c r="D21" s="502" t="s">
        <v>1</v>
      </c>
      <c r="E21" s="500">
        <v>0.5</v>
      </c>
      <c r="F21" s="502"/>
      <c r="G21" s="570">
        <v>4.5</v>
      </c>
      <c r="H21" s="498">
        <f>G21*66140*E21</f>
        <v>148815</v>
      </c>
      <c r="I21" s="508"/>
      <c r="J21" s="508"/>
      <c r="K21" s="570">
        <f>H21+I21+J21</f>
        <v>148815</v>
      </c>
      <c r="L21" s="500">
        <v>0.5</v>
      </c>
      <c r="M21" s="502" t="s">
        <v>1</v>
      </c>
      <c r="N21" s="570">
        <v>4.5</v>
      </c>
      <c r="O21" s="498">
        <f>N21*66140*L21</f>
        <v>148815</v>
      </c>
      <c r="P21" s="508"/>
      <c r="Q21" s="508"/>
      <c r="R21" s="570">
        <f>O21+P21+Q21</f>
        <v>148815</v>
      </c>
      <c r="S21" s="570"/>
      <c r="T21" s="570"/>
      <c r="U21" s="570"/>
      <c r="V21" s="570"/>
      <c r="W21" s="570"/>
      <c r="X21" s="500">
        <v>0.5</v>
      </c>
      <c r="Y21" s="502"/>
      <c r="Z21" s="570">
        <v>4.5</v>
      </c>
      <c r="AA21" s="498">
        <f>Z21*66140*X21</f>
        <v>148815</v>
      </c>
      <c r="AB21" s="508"/>
      <c r="AC21" s="508"/>
      <c r="AD21" s="570">
        <f>AA21+AB21+AC21</f>
        <v>148815</v>
      </c>
      <c r="AE21" s="500">
        <v>0.5</v>
      </c>
      <c r="AF21" s="502"/>
      <c r="AG21" s="570">
        <v>4.5</v>
      </c>
      <c r="AH21" s="498">
        <f>AG21*66140*AE21</f>
        <v>148815</v>
      </c>
      <c r="AI21" s="508"/>
      <c r="AJ21" s="508"/>
      <c r="AK21" s="570">
        <f>AH21+AI21+AJ21</f>
        <v>148815</v>
      </c>
    </row>
    <row r="22" spans="1:37" ht="47.25" customHeight="1">
      <c r="A22" s="496">
        <v>5</v>
      </c>
      <c r="B22" s="581" t="s">
        <v>441</v>
      </c>
      <c r="C22" s="501" t="s">
        <v>442</v>
      </c>
      <c r="D22" s="502" t="s">
        <v>1</v>
      </c>
      <c r="E22" s="500">
        <v>1</v>
      </c>
      <c r="F22" s="502"/>
      <c r="G22" s="570">
        <v>3</v>
      </c>
      <c r="H22" s="498">
        <f>G22*66140*E22</f>
        <v>198420</v>
      </c>
      <c r="I22" s="508"/>
      <c r="J22" s="508"/>
      <c r="K22" s="570">
        <f>H22+I22+J22</f>
        <v>198420</v>
      </c>
      <c r="L22" s="500">
        <v>1</v>
      </c>
      <c r="M22" s="502" t="s">
        <v>1</v>
      </c>
      <c r="N22" s="570">
        <v>3</v>
      </c>
      <c r="O22" s="498">
        <f>N22*66140*L22</f>
        <v>198420</v>
      </c>
      <c r="P22" s="508"/>
      <c r="Q22" s="508"/>
      <c r="R22" s="570">
        <f>O22+P22+Q22</f>
        <v>198420</v>
      </c>
      <c r="S22" s="570"/>
      <c r="T22" s="570"/>
      <c r="U22" s="570"/>
      <c r="V22" s="570"/>
      <c r="W22" s="570"/>
      <c r="X22" s="500">
        <v>1</v>
      </c>
      <c r="Y22" s="502"/>
      <c r="Z22" s="570">
        <v>3</v>
      </c>
      <c r="AA22" s="498">
        <f>Z22*66140*X22</f>
        <v>198420</v>
      </c>
      <c r="AB22" s="508"/>
      <c r="AC22" s="508"/>
      <c r="AD22" s="570">
        <f>AA22+AB22+AC22</f>
        <v>198420</v>
      </c>
      <c r="AE22" s="500">
        <v>1</v>
      </c>
      <c r="AF22" s="502"/>
      <c r="AG22" s="570">
        <v>3</v>
      </c>
      <c r="AH22" s="498">
        <f>AG22*66140*AE22</f>
        <v>198420</v>
      </c>
      <c r="AI22" s="508"/>
      <c r="AJ22" s="508"/>
      <c r="AK22" s="570">
        <f>AH22+AI22+AJ22</f>
        <v>198420</v>
      </c>
    </row>
    <row r="23" spans="1:37" ht="21" customHeight="1">
      <c r="A23" s="496"/>
      <c r="B23" s="500"/>
      <c r="C23" s="496"/>
      <c r="D23" s="502"/>
      <c r="E23" s="500"/>
      <c r="F23" s="500"/>
      <c r="G23" s="508"/>
      <c r="H23" s="508"/>
      <c r="I23" s="508"/>
      <c r="J23" s="508"/>
      <c r="K23" s="508"/>
      <c r="L23" s="500"/>
      <c r="M23" s="570"/>
      <c r="N23" s="500"/>
      <c r="O23" s="508"/>
      <c r="P23" s="508"/>
      <c r="Q23" s="508"/>
      <c r="R23" s="508"/>
      <c r="S23" s="570">
        <f t="shared" si="2"/>
        <v>0</v>
      </c>
      <c r="T23" s="570">
        <f t="shared" si="3"/>
        <v>0</v>
      </c>
      <c r="U23" s="570">
        <f t="shared" si="3"/>
        <v>0</v>
      </c>
      <c r="V23" s="570">
        <f t="shared" si="3"/>
        <v>0</v>
      </c>
      <c r="W23" s="570">
        <f t="shared" si="4"/>
        <v>0</v>
      </c>
      <c r="X23" s="500"/>
      <c r="Y23" s="570"/>
      <c r="Z23" s="500"/>
      <c r="AA23" s="508"/>
      <c r="AB23" s="508"/>
      <c r="AC23" s="508"/>
      <c r="AD23" s="508"/>
      <c r="AE23" s="500"/>
      <c r="AF23" s="570"/>
      <c r="AG23" s="500"/>
      <c r="AH23" s="508"/>
      <c r="AI23" s="508"/>
      <c r="AJ23" s="508"/>
      <c r="AK23" s="508"/>
    </row>
    <row r="24" spans="1:37" s="505" customFormat="1" ht="21" customHeight="1">
      <c r="A24" s="496"/>
      <c r="B24" s="503" t="s">
        <v>96</v>
      </c>
      <c r="C24" s="502" t="s">
        <v>1</v>
      </c>
      <c r="D24" s="502" t="s">
        <v>1</v>
      </c>
      <c r="E24" s="502">
        <f>SUM(E18:E22)</f>
        <v>4</v>
      </c>
      <c r="F24" s="502"/>
      <c r="G24" s="502"/>
      <c r="H24" s="502">
        <f aca="true" t="shared" si="5" ref="H24:AK24">SUM(H18:H22)</f>
        <v>1107845</v>
      </c>
      <c r="I24" s="502">
        <f t="shared" si="5"/>
        <v>0</v>
      </c>
      <c r="J24" s="502">
        <f t="shared" si="5"/>
        <v>0</v>
      </c>
      <c r="K24" s="502">
        <f t="shared" si="5"/>
        <v>1107845</v>
      </c>
      <c r="L24" s="502">
        <f t="shared" si="5"/>
        <v>4</v>
      </c>
      <c r="M24" s="502">
        <f t="shared" si="5"/>
        <v>0</v>
      </c>
      <c r="N24" s="502">
        <f t="shared" si="5"/>
        <v>21.25</v>
      </c>
      <c r="O24" s="502">
        <f t="shared" si="5"/>
        <v>1107845</v>
      </c>
      <c r="P24" s="502">
        <f t="shared" si="5"/>
        <v>0</v>
      </c>
      <c r="Q24" s="502">
        <f t="shared" si="5"/>
        <v>0</v>
      </c>
      <c r="R24" s="502">
        <f t="shared" si="5"/>
        <v>1107845</v>
      </c>
      <c r="S24" s="502">
        <f t="shared" si="5"/>
        <v>0</v>
      </c>
      <c r="T24" s="502">
        <f t="shared" si="5"/>
        <v>0</v>
      </c>
      <c r="U24" s="502">
        <f t="shared" si="5"/>
        <v>0</v>
      </c>
      <c r="V24" s="502">
        <f t="shared" si="5"/>
        <v>0</v>
      </c>
      <c r="W24" s="502">
        <f t="shared" si="5"/>
        <v>0</v>
      </c>
      <c r="X24" s="502">
        <f t="shared" si="5"/>
        <v>4</v>
      </c>
      <c r="Y24" s="502">
        <f t="shared" si="5"/>
        <v>0</v>
      </c>
      <c r="Z24" s="502">
        <f t="shared" si="5"/>
        <v>21.25</v>
      </c>
      <c r="AA24" s="502">
        <f t="shared" si="5"/>
        <v>1107845</v>
      </c>
      <c r="AB24" s="502">
        <f t="shared" si="5"/>
        <v>0</v>
      </c>
      <c r="AC24" s="502">
        <f t="shared" si="5"/>
        <v>0</v>
      </c>
      <c r="AD24" s="502">
        <f t="shared" si="5"/>
        <v>1107845</v>
      </c>
      <c r="AE24" s="502">
        <f t="shared" si="5"/>
        <v>4</v>
      </c>
      <c r="AF24" s="502">
        <f t="shared" si="5"/>
        <v>0</v>
      </c>
      <c r="AG24" s="502">
        <f t="shared" si="5"/>
        <v>21.25</v>
      </c>
      <c r="AH24" s="502">
        <f t="shared" si="5"/>
        <v>1107845</v>
      </c>
      <c r="AI24" s="502">
        <f t="shared" si="5"/>
        <v>0</v>
      </c>
      <c r="AJ24" s="502">
        <f t="shared" si="5"/>
        <v>0</v>
      </c>
      <c r="AK24" s="502">
        <f t="shared" si="5"/>
        <v>1107845</v>
      </c>
    </row>
    <row r="25" spans="1:37" ht="21" customHeight="1">
      <c r="A25" s="496"/>
      <c r="B25" s="497"/>
      <c r="C25" s="502"/>
      <c r="D25" s="502"/>
      <c r="E25" s="497"/>
      <c r="F25" s="497"/>
      <c r="G25" s="497"/>
      <c r="H25" s="497"/>
      <c r="I25" s="497"/>
      <c r="J25" s="497"/>
      <c r="K25" s="497"/>
      <c r="L25" s="497"/>
      <c r="M25" s="570"/>
      <c r="N25" s="497"/>
      <c r="O25" s="497"/>
      <c r="P25" s="497"/>
      <c r="Q25" s="497"/>
      <c r="R25" s="497"/>
      <c r="S25" s="570"/>
      <c r="T25" s="570"/>
      <c r="U25" s="570"/>
      <c r="V25" s="570"/>
      <c r="W25" s="570"/>
      <c r="X25" s="497"/>
      <c r="Y25" s="570"/>
      <c r="Z25" s="497"/>
      <c r="AA25" s="497"/>
      <c r="AB25" s="497"/>
      <c r="AC25" s="497"/>
      <c r="AD25" s="497"/>
      <c r="AE25" s="497"/>
      <c r="AF25" s="570"/>
      <c r="AG25" s="497"/>
      <c r="AH25" s="497"/>
      <c r="AI25" s="497"/>
      <c r="AJ25" s="497"/>
      <c r="AK25" s="497"/>
    </row>
    <row r="26" spans="1:37" ht="21" customHeight="1">
      <c r="A26" s="496"/>
      <c r="B26" s="503"/>
      <c r="C26" s="502"/>
      <c r="D26" s="502"/>
      <c r="E26" s="570"/>
      <c r="F26" s="570"/>
      <c r="G26" s="570"/>
      <c r="H26" s="570"/>
      <c r="I26" s="570"/>
      <c r="J26" s="570"/>
      <c r="K26" s="570"/>
      <c r="L26" s="570"/>
      <c r="M26" s="570"/>
      <c r="N26" s="570"/>
      <c r="O26" s="570"/>
      <c r="P26" s="570"/>
      <c r="Q26" s="570"/>
      <c r="R26" s="570"/>
      <c r="S26" s="570"/>
      <c r="T26" s="570"/>
      <c r="U26" s="570"/>
      <c r="V26" s="570"/>
      <c r="W26" s="570"/>
      <c r="X26" s="502"/>
      <c r="Y26" s="570"/>
      <c r="Z26" s="502"/>
      <c r="AA26" s="570"/>
      <c r="AB26" s="570"/>
      <c r="AC26" s="570"/>
      <c r="AD26" s="570"/>
      <c r="AE26" s="502"/>
      <c r="AF26" s="570"/>
      <c r="AG26" s="502"/>
      <c r="AH26" s="570"/>
      <c r="AI26" s="570"/>
      <c r="AJ26" s="570"/>
      <c r="AK26" s="570"/>
    </row>
    <row r="27" spans="1:37" ht="33" customHeight="1">
      <c r="A27" s="496" t="s">
        <v>4</v>
      </c>
      <c r="B27" s="497" t="s">
        <v>443</v>
      </c>
      <c r="C27" s="502"/>
      <c r="D27" s="502"/>
      <c r="E27" s="497"/>
      <c r="F27" s="497"/>
      <c r="G27" s="497"/>
      <c r="H27" s="497"/>
      <c r="I27" s="497"/>
      <c r="J27" s="497"/>
      <c r="K27" s="497"/>
      <c r="L27" s="497"/>
      <c r="M27" s="570"/>
      <c r="N27" s="497"/>
      <c r="O27" s="497"/>
      <c r="P27" s="497"/>
      <c r="Q27" s="497"/>
      <c r="R27" s="497"/>
      <c r="S27" s="570"/>
      <c r="T27" s="570"/>
      <c r="U27" s="570"/>
      <c r="V27" s="570"/>
      <c r="W27" s="570"/>
      <c r="X27" s="497"/>
      <c r="Y27" s="570"/>
      <c r="Z27" s="497"/>
      <c r="AA27" s="497"/>
      <c r="AB27" s="497"/>
      <c r="AC27" s="497"/>
      <c r="AD27" s="497"/>
      <c r="AE27" s="497"/>
      <c r="AF27" s="570"/>
      <c r="AG27" s="497"/>
      <c r="AH27" s="497"/>
      <c r="AI27" s="497"/>
      <c r="AJ27" s="497"/>
      <c r="AK27" s="497"/>
    </row>
    <row r="28" spans="1:37" ht="21" customHeight="1">
      <c r="A28" s="496"/>
      <c r="B28" s="506" t="s">
        <v>156</v>
      </c>
      <c r="C28" s="502"/>
      <c r="D28" s="502"/>
      <c r="E28" s="506"/>
      <c r="F28" s="506"/>
      <c r="G28" s="499"/>
      <c r="H28" s="499"/>
      <c r="I28" s="499"/>
      <c r="J28" s="499"/>
      <c r="K28" s="499"/>
      <c r="L28" s="506"/>
      <c r="M28" s="570"/>
      <c r="N28" s="506"/>
      <c r="O28" s="499"/>
      <c r="P28" s="499"/>
      <c r="Q28" s="499"/>
      <c r="R28" s="499"/>
      <c r="S28" s="570"/>
      <c r="T28" s="570"/>
      <c r="U28" s="570"/>
      <c r="V28" s="570"/>
      <c r="W28" s="570"/>
      <c r="X28" s="506"/>
      <c r="Y28" s="570"/>
      <c r="Z28" s="506"/>
      <c r="AA28" s="499"/>
      <c r="AB28" s="499"/>
      <c r="AC28" s="499"/>
      <c r="AD28" s="499"/>
      <c r="AE28" s="506"/>
      <c r="AF28" s="570"/>
      <c r="AG28" s="506"/>
      <c r="AH28" s="499"/>
      <c r="AI28" s="499"/>
      <c r="AJ28" s="499"/>
      <c r="AK28" s="499"/>
    </row>
    <row r="29" spans="1:37" ht="21" customHeight="1">
      <c r="A29" s="496"/>
      <c r="B29" s="506" t="s">
        <v>179</v>
      </c>
      <c r="C29" s="502"/>
      <c r="D29" s="502"/>
      <c r="E29" s="506"/>
      <c r="F29" s="506"/>
      <c r="G29" s="499"/>
      <c r="H29" s="499"/>
      <c r="I29" s="499"/>
      <c r="J29" s="499"/>
      <c r="K29" s="499"/>
      <c r="L29" s="506"/>
      <c r="M29" s="570"/>
      <c r="N29" s="506"/>
      <c r="O29" s="499"/>
      <c r="P29" s="499"/>
      <c r="Q29" s="499"/>
      <c r="R29" s="499"/>
      <c r="S29" s="570"/>
      <c r="T29" s="570"/>
      <c r="U29" s="570"/>
      <c r="V29" s="570"/>
      <c r="W29" s="570"/>
      <c r="X29" s="506"/>
      <c r="Y29" s="570"/>
      <c r="Z29" s="506"/>
      <c r="AA29" s="499"/>
      <c r="AB29" s="499"/>
      <c r="AC29" s="499"/>
      <c r="AD29" s="499"/>
      <c r="AE29" s="506"/>
      <c r="AF29" s="570"/>
      <c r="AG29" s="506"/>
      <c r="AH29" s="499"/>
      <c r="AI29" s="499"/>
      <c r="AJ29" s="499"/>
      <c r="AK29" s="499"/>
    </row>
    <row r="30" spans="1:37" ht="21" customHeight="1">
      <c r="A30" s="496"/>
      <c r="B30" s="506" t="s">
        <v>180</v>
      </c>
      <c r="C30" s="502"/>
      <c r="D30" s="502"/>
      <c r="E30" s="506"/>
      <c r="F30" s="506"/>
      <c r="G30" s="499"/>
      <c r="H30" s="499"/>
      <c r="I30" s="499"/>
      <c r="J30" s="499"/>
      <c r="K30" s="499"/>
      <c r="L30" s="506"/>
      <c r="M30" s="570"/>
      <c r="N30" s="506"/>
      <c r="O30" s="499"/>
      <c r="P30" s="499"/>
      <c r="Q30" s="499"/>
      <c r="R30" s="499"/>
      <c r="S30" s="570"/>
      <c r="T30" s="570"/>
      <c r="U30" s="570"/>
      <c r="V30" s="570"/>
      <c r="W30" s="570"/>
      <c r="X30" s="506"/>
      <c r="Y30" s="570"/>
      <c r="Z30" s="506"/>
      <c r="AA30" s="499"/>
      <c r="AB30" s="499"/>
      <c r="AC30" s="499"/>
      <c r="AD30" s="499"/>
      <c r="AE30" s="506"/>
      <c r="AF30" s="570"/>
      <c r="AG30" s="506"/>
      <c r="AH30" s="499"/>
      <c r="AI30" s="499"/>
      <c r="AJ30" s="499"/>
      <c r="AK30" s="499"/>
    </row>
    <row r="31" spans="1:37" s="582" customFormat="1" ht="31.5" customHeight="1">
      <c r="A31" s="523">
        <v>1</v>
      </c>
      <c r="B31" s="524"/>
      <c r="C31" s="525" t="s">
        <v>444</v>
      </c>
      <c r="D31" s="523" t="s">
        <v>445</v>
      </c>
      <c r="E31" s="524">
        <v>1</v>
      </c>
      <c r="F31" s="532" t="s">
        <v>446</v>
      </c>
      <c r="G31" s="524">
        <v>5.89</v>
      </c>
      <c r="H31" s="526">
        <f>G31*66140</f>
        <v>389564.6</v>
      </c>
      <c r="I31" s="527"/>
      <c r="J31" s="528">
        <f>H31*0.15</f>
        <v>58434.689999999995</v>
      </c>
      <c r="K31" s="529">
        <f>H31+I31+J31</f>
        <v>447999.29</v>
      </c>
      <c r="L31" s="524">
        <v>1</v>
      </c>
      <c r="M31" s="530" t="s">
        <v>447</v>
      </c>
      <c r="N31" s="524">
        <v>5.71</v>
      </c>
      <c r="O31" s="526">
        <f>N31*66140</f>
        <v>377659.4</v>
      </c>
      <c r="P31" s="527"/>
      <c r="Q31" s="531">
        <f>O31*0.15</f>
        <v>56648.91</v>
      </c>
      <c r="R31" s="529">
        <f>O31+P31+Q31</f>
        <v>434308.31000000006</v>
      </c>
      <c r="S31" s="529">
        <f t="shared" si="2"/>
        <v>0</v>
      </c>
      <c r="T31" s="529">
        <f t="shared" si="3"/>
        <v>11905.199999999953</v>
      </c>
      <c r="U31" s="529">
        <f t="shared" si="3"/>
        <v>0</v>
      </c>
      <c r="V31" s="529">
        <f t="shared" si="3"/>
        <v>1785.7799999999916</v>
      </c>
      <c r="W31" s="529">
        <f t="shared" si="4"/>
        <v>13690.979999999945</v>
      </c>
      <c r="X31" s="524">
        <v>1</v>
      </c>
      <c r="Y31" s="532" t="s">
        <v>448</v>
      </c>
      <c r="Z31" s="524">
        <v>6.09</v>
      </c>
      <c r="AA31" s="526">
        <f>Z31*66140</f>
        <v>402792.6</v>
      </c>
      <c r="AB31" s="527"/>
      <c r="AC31" s="528">
        <f>AA31*0.15</f>
        <v>60418.88999999999</v>
      </c>
      <c r="AD31" s="529">
        <f>AA31+AB31+AC31</f>
        <v>463211.49</v>
      </c>
      <c r="AE31" s="524">
        <v>1</v>
      </c>
      <c r="AF31" s="530" t="s">
        <v>449</v>
      </c>
      <c r="AG31" s="530">
        <v>6.29</v>
      </c>
      <c r="AH31" s="498">
        <f>AG31*66140</f>
        <v>416020.6</v>
      </c>
      <c r="AI31" s="527"/>
      <c r="AJ31" s="528">
        <f>AH31*0.15</f>
        <v>62403.09</v>
      </c>
      <c r="AK31" s="529">
        <f>AH31+AI31+AJ31</f>
        <v>478423.68999999994</v>
      </c>
    </row>
    <row r="32" spans="1:37" ht="21" customHeight="1">
      <c r="A32" s="496">
        <v>3</v>
      </c>
      <c r="B32" s="503"/>
      <c r="C32" s="496"/>
      <c r="D32" s="496"/>
      <c r="E32" s="500"/>
      <c r="F32" s="496"/>
      <c r="G32" s="500"/>
      <c r="H32" s="508"/>
      <c r="I32" s="508"/>
      <c r="J32" s="508"/>
      <c r="K32" s="570">
        <f>H32+I32+J32</f>
        <v>0</v>
      </c>
      <c r="L32" s="500"/>
      <c r="M32" s="496"/>
      <c r="N32" s="500"/>
      <c r="O32" s="508"/>
      <c r="P32" s="508"/>
      <c r="Q32" s="508"/>
      <c r="R32" s="570">
        <f>O32+P32+Q32</f>
        <v>0</v>
      </c>
      <c r="S32" s="570">
        <f t="shared" si="2"/>
        <v>0</v>
      </c>
      <c r="T32" s="570">
        <f t="shared" si="3"/>
        <v>0</v>
      </c>
      <c r="U32" s="570">
        <f t="shared" si="3"/>
        <v>0</v>
      </c>
      <c r="V32" s="570">
        <f t="shared" si="3"/>
        <v>0</v>
      </c>
      <c r="W32" s="570">
        <f t="shared" si="4"/>
        <v>0</v>
      </c>
      <c r="X32" s="500"/>
      <c r="Y32" s="496"/>
      <c r="Z32" s="500"/>
      <c r="AA32" s="508"/>
      <c r="AB32" s="508"/>
      <c r="AC32" s="508"/>
      <c r="AD32" s="570">
        <f>AA32+AB32+AC32</f>
        <v>0</v>
      </c>
      <c r="AE32" s="500"/>
      <c r="AF32" s="496"/>
      <c r="AG32" s="500"/>
      <c r="AH32" s="498">
        <f>AG32*66140</f>
        <v>0</v>
      </c>
      <c r="AI32" s="508"/>
      <c r="AJ32" s="508"/>
      <c r="AK32" s="570">
        <f>AH32+AI32+AJ32</f>
        <v>0</v>
      </c>
    </row>
    <row r="33" spans="1:38" s="505" customFormat="1" ht="21" customHeight="1">
      <c r="A33" s="496"/>
      <c r="B33" s="583" t="s">
        <v>181</v>
      </c>
      <c r="C33" s="502" t="s">
        <v>1</v>
      </c>
      <c r="D33" s="502" t="s">
        <v>1</v>
      </c>
      <c r="E33" s="502">
        <f>SUM(E31:E32)</f>
        <v>1</v>
      </c>
      <c r="F33" s="502" t="s">
        <v>1</v>
      </c>
      <c r="G33" s="502"/>
      <c r="H33" s="502">
        <f>SUM(H31:H32)</f>
        <v>389564.6</v>
      </c>
      <c r="I33" s="502">
        <f>SUM(I31:I32)</f>
        <v>0</v>
      </c>
      <c r="J33" s="502">
        <f>SUM(J31:J32)</f>
        <v>58434.689999999995</v>
      </c>
      <c r="K33" s="502">
        <f>SUM(K31:K32)</f>
        <v>447999.29</v>
      </c>
      <c r="L33" s="502">
        <f>SUM(L31:L32)</f>
        <v>1</v>
      </c>
      <c r="M33" s="502" t="s">
        <v>1</v>
      </c>
      <c r="N33" s="502"/>
      <c r="O33" s="502">
        <f>SUM(O31:O32)</f>
        <v>377659.4</v>
      </c>
      <c r="P33" s="502">
        <f>SUM(P31:P32)</f>
        <v>0</v>
      </c>
      <c r="Q33" s="502">
        <f>SUM(Q31:Q32)</f>
        <v>56648.91</v>
      </c>
      <c r="R33" s="502">
        <f>SUM(R31:R32)</f>
        <v>434308.31000000006</v>
      </c>
      <c r="S33" s="570">
        <f t="shared" si="2"/>
        <v>0</v>
      </c>
      <c r="T33" s="570">
        <f t="shared" si="3"/>
        <v>11905.199999999953</v>
      </c>
      <c r="U33" s="570">
        <f t="shared" si="3"/>
        <v>0</v>
      </c>
      <c r="V33" s="570">
        <f t="shared" si="3"/>
        <v>1785.7799999999916</v>
      </c>
      <c r="W33" s="570">
        <f t="shared" si="4"/>
        <v>13690.979999999945</v>
      </c>
      <c r="X33" s="502">
        <f>SUM(X31:X32)</f>
        <v>1</v>
      </c>
      <c r="Y33" s="502" t="s">
        <v>1</v>
      </c>
      <c r="Z33" s="502"/>
      <c r="AA33" s="502">
        <f>SUM(AA31:AA32)</f>
        <v>402792.6</v>
      </c>
      <c r="AB33" s="502">
        <f>SUM(AB31:AB32)</f>
        <v>0</v>
      </c>
      <c r="AC33" s="502">
        <f>SUM(AC31:AC32)</f>
        <v>60418.88999999999</v>
      </c>
      <c r="AD33" s="502">
        <f>SUM(AD31:AD32)</f>
        <v>463211.49</v>
      </c>
      <c r="AE33" s="502">
        <f>SUM(AE31:AE32)</f>
        <v>1</v>
      </c>
      <c r="AF33" s="502" t="s">
        <v>1</v>
      </c>
      <c r="AG33" s="502"/>
      <c r="AH33" s="502">
        <f>SUM(AH31:AH32)</f>
        <v>416020.6</v>
      </c>
      <c r="AI33" s="502">
        <f>SUM(AI31:AI32)</f>
        <v>0</v>
      </c>
      <c r="AJ33" s="502">
        <f>SUM(AJ31:AJ32)</f>
        <v>62403.09</v>
      </c>
      <c r="AK33" s="502">
        <f>SUM(AK31:AK32)</f>
        <v>478423.68999999994</v>
      </c>
      <c r="AL33" s="510"/>
    </row>
    <row r="34" spans="1:38" ht="28.5" customHeight="1">
      <c r="A34" s="496"/>
      <c r="B34" s="584" t="s">
        <v>450</v>
      </c>
      <c r="C34" s="502"/>
      <c r="D34" s="502"/>
      <c r="E34" s="506"/>
      <c r="F34" s="502"/>
      <c r="G34" s="506"/>
      <c r="H34" s="499"/>
      <c r="I34" s="499"/>
      <c r="J34" s="499"/>
      <c r="K34" s="499"/>
      <c r="L34" s="506"/>
      <c r="M34" s="502"/>
      <c r="N34" s="506"/>
      <c r="O34" s="499"/>
      <c r="P34" s="499"/>
      <c r="Q34" s="499"/>
      <c r="R34" s="499"/>
      <c r="S34" s="570">
        <f t="shared" si="2"/>
        <v>0</v>
      </c>
      <c r="T34" s="570">
        <f t="shared" si="3"/>
        <v>0</v>
      </c>
      <c r="U34" s="570">
        <f t="shared" si="3"/>
        <v>0</v>
      </c>
      <c r="V34" s="570">
        <f t="shared" si="3"/>
        <v>0</v>
      </c>
      <c r="W34" s="570">
        <f t="shared" si="4"/>
        <v>0</v>
      </c>
      <c r="X34" s="506"/>
      <c r="Y34" s="502"/>
      <c r="Z34" s="506"/>
      <c r="AA34" s="499"/>
      <c r="AB34" s="499"/>
      <c r="AC34" s="499"/>
      <c r="AD34" s="499"/>
      <c r="AE34" s="506"/>
      <c r="AF34" s="502"/>
      <c r="AG34" s="506"/>
      <c r="AH34" s="498">
        <f>AG34*66140</f>
        <v>0</v>
      </c>
      <c r="AI34" s="499"/>
      <c r="AJ34" s="499"/>
      <c r="AK34" s="499"/>
      <c r="AL34" s="510"/>
    </row>
    <row r="35" spans="1:38" ht="21" customHeight="1">
      <c r="A35" s="496">
        <v>1</v>
      </c>
      <c r="B35" s="500" t="s">
        <v>451</v>
      </c>
      <c r="C35" s="501" t="s">
        <v>452</v>
      </c>
      <c r="D35" s="496" t="s">
        <v>453</v>
      </c>
      <c r="E35" s="500">
        <v>1</v>
      </c>
      <c r="F35" s="509" t="s">
        <v>454</v>
      </c>
      <c r="G35" s="500">
        <v>5.18</v>
      </c>
      <c r="H35" s="498">
        <f>G35*66140</f>
        <v>342605.19999999995</v>
      </c>
      <c r="I35" s="508"/>
      <c r="J35" s="508"/>
      <c r="K35" s="570">
        <f>H35+I35+J35</f>
        <v>342605.19999999995</v>
      </c>
      <c r="L35" s="500">
        <v>1</v>
      </c>
      <c r="M35" s="509" t="s">
        <v>455</v>
      </c>
      <c r="N35" s="500">
        <v>5.18</v>
      </c>
      <c r="O35" s="498">
        <f>N35*66140</f>
        <v>342605.19999999995</v>
      </c>
      <c r="P35" s="508"/>
      <c r="Q35" s="508"/>
      <c r="R35" s="570">
        <f>O35+P35+Q35</f>
        <v>342605.19999999995</v>
      </c>
      <c r="S35" s="570">
        <f t="shared" si="2"/>
        <v>0</v>
      </c>
      <c r="T35" s="570">
        <f t="shared" si="3"/>
        <v>0</v>
      </c>
      <c r="U35" s="570">
        <f t="shared" si="3"/>
        <v>0</v>
      </c>
      <c r="V35" s="570">
        <f t="shared" si="3"/>
        <v>0</v>
      </c>
      <c r="W35" s="570">
        <f t="shared" si="4"/>
        <v>0</v>
      </c>
      <c r="X35" s="500">
        <v>1</v>
      </c>
      <c r="Y35" s="509" t="s">
        <v>456</v>
      </c>
      <c r="Z35" s="500">
        <v>5.18</v>
      </c>
      <c r="AA35" s="498">
        <f>Z35*66140</f>
        <v>342605.19999999995</v>
      </c>
      <c r="AB35" s="508"/>
      <c r="AC35" s="508"/>
      <c r="AD35" s="570">
        <f>AA35+AB35+AC35</f>
        <v>342605.19999999995</v>
      </c>
      <c r="AE35" s="500">
        <v>1</v>
      </c>
      <c r="AF35" s="509" t="s">
        <v>457</v>
      </c>
      <c r="AG35" s="500">
        <v>5.18</v>
      </c>
      <c r="AH35" s="498">
        <f>AG35*66140</f>
        <v>342605.19999999995</v>
      </c>
      <c r="AI35" s="508"/>
      <c r="AJ35" s="508"/>
      <c r="AK35" s="570">
        <f>AH35+AI35+AJ35</f>
        <v>342605.19999999995</v>
      </c>
      <c r="AL35" s="510"/>
    </row>
    <row r="36" spans="1:38" ht="21" customHeight="1">
      <c r="A36" s="496">
        <v>2</v>
      </c>
      <c r="B36" s="585" t="s">
        <v>458</v>
      </c>
      <c r="C36" s="501" t="s">
        <v>459</v>
      </c>
      <c r="D36" s="496" t="s">
        <v>460</v>
      </c>
      <c r="E36" s="500">
        <v>1</v>
      </c>
      <c r="F36" s="509" t="s">
        <v>454</v>
      </c>
      <c r="G36" s="500">
        <v>4.55</v>
      </c>
      <c r="H36" s="498">
        <f aca="true" t="shared" si="6" ref="H36:H41">G36*66140</f>
        <v>300937</v>
      </c>
      <c r="I36" s="508"/>
      <c r="J36" s="508">
        <f>H36*0.05</f>
        <v>15046.85</v>
      </c>
      <c r="K36" s="570">
        <f aca="true" t="shared" si="7" ref="K36:K41">H36+I36+J36</f>
        <v>315983.85</v>
      </c>
      <c r="L36" s="500">
        <v>1</v>
      </c>
      <c r="M36" s="509" t="s">
        <v>455</v>
      </c>
      <c r="N36" s="500">
        <v>4.55</v>
      </c>
      <c r="O36" s="498">
        <f aca="true" t="shared" si="8" ref="O36:O41">N36*66140</f>
        <v>300937</v>
      </c>
      <c r="P36" s="508"/>
      <c r="Q36" s="508">
        <f aca="true" t="shared" si="9" ref="Q36:Q41">O36*0.05</f>
        <v>15046.85</v>
      </c>
      <c r="R36" s="570">
        <f aca="true" t="shared" si="10" ref="R36:R41">O36+P36+Q36</f>
        <v>315983.85</v>
      </c>
      <c r="S36" s="570">
        <f t="shared" si="2"/>
        <v>0</v>
      </c>
      <c r="T36" s="570">
        <f t="shared" si="3"/>
        <v>0</v>
      </c>
      <c r="U36" s="570">
        <f t="shared" si="3"/>
        <v>0</v>
      </c>
      <c r="V36" s="570">
        <f t="shared" si="3"/>
        <v>0</v>
      </c>
      <c r="W36" s="570">
        <f t="shared" si="4"/>
        <v>0</v>
      </c>
      <c r="X36" s="500">
        <v>1</v>
      </c>
      <c r="Y36" s="509" t="s">
        <v>456</v>
      </c>
      <c r="Z36" s="500">
        <v>4.55</v>
      </c>
      <c r="AA36" s="498">
        <f aca="true" t="shared" si="11" ref="AA36:AA41">Z36*66140</f>
        <v>300937</v>
      </c>
      <c r="AB36" s="508"/>
      <c r="AC36" s="508">
        <f>AA36*0.05</f>
        <v>15046.85</v>
      </c>
      <c r="AD36" s="570">
        <f aca="true" t="shared" si="12" ref="AD36:AD41">AA36+AB36+AC36</f>
        <v>315983.85</v>
      </c>
      <c r="AE36" s="500">
        <v>1</v>
      </c>
      <c r="AF36" s="509" t="s">
        <v>457</v>
      </c>
      <c r="AG36" s="500">
        <v>4.55</v>
      </c>
      <c r="AH36" s="498">
        <f aca="true" t="shared" si="13" ref="AH36:AH41">AG36*66140</f>
        <v>300937</v>
      </c>
      <c r="AI36" s="508"/>
      <c r="AJ36" s="508">
        <f aca="true" t="shared" si="14" ref="AJ36:AJ41">AH36*0.05</f>
        <v>15046.85</v>
      </c>
      <c r="AK36" s="570">
        <f aca="true" t="shared" si="15" ref="AK36:AK41">AH36+AI36+AJ36</f>
        <v>315983.85</v>
      </c>
      <c r="AL36" s="510"/>
    </row>
    <row r="37" spans="1:38" ht="21" customHeight="1">
      <c r="A37" s="496">
        <v>3</v>
      </c>
      <c r="B37" s="585" t="s">
        <v>461</v>
      </c>
      <c r="C37" s="501" t="s">
        <v>462</v>
      </c>
      <c r="D37" s="496" t="s">
        <v>463</v>
      </c>
      <c r="E37" s="500">
        <v>1</v>
      </c>
      <c r="F37" s="509" t="s">
        <v>454</v>
      </c>
      <c r="G37" s="500">
        <v>5.34</v>
      </c>
      <c r="H37" s="498">
        <f t="shared" si="6"/>
        <v>353187.6</v>
      </c>
      <c r="I37" s="508"/>
      <c r="J37" s="508">
        <f>H37*0.05</f>
        <v>17659.38</v>
      </c>
      <c r="K37" s="570">
        <f t="shared" si="7"/>
        <v>370846.98</v>
      </c>
      <c r="L37" s="500">
        <v>1</v>
      </c>
      <c r="M37" s="509" t="s">
        <v>455</v>
      </c>
      <c r="N37" s="500">
        <v>5.34</v>
      </c>
      <c r="O37" s="498">
        <f t="shared" si="8"/>
        <v>353187.6</v>
      </c>
      <c r="P37" s="508"/>
      <c r="Q37" s="508">
        <f t="shared" si="9"/>
        <v>17659.38</v>
      </c>
      <c r="R37" s="570">
        <f t="shared" si="10"/>
        <v>370846.98</v>
      </c>
      <c r="S37" s="570">
        <f t="shared" si="2"/>
        <v>0</v>
      </c>
      <c r="T37" s="570">
        <f t="shared" si="3"/>
        <v>0</v>
      </c>
      <c r="U37" s="570">
        <f t="shared" si="3"/>
        <v>0</v>
      </c>
      <c r="V37" s="570">
        <f t="shared" si="3"/>
        <v>0</v>
      </c>
      <c r="W37" s="570">
        <f t="shared" si="4"/>
        <v>0</v>
      </c>
      <c r="X37" s="500">
        <v>1</v>
      </c>
      <c r="Y37" s="509" t="s">
        <v>456</v>
      </c>
      <c r="Z37" s="500">
        <v>5.34</v>
      </c>
      <c r="AA37" s="498">
        <f t="shared" si="11"/>
        <v>353187.6</v>
      </c>
      <c r="AB37" s="508"/>
      <c r="AC37" s="508">
        <f>AA37*0.05</f>
        <v>17659.38</v>
      </c>
      <c r="AD37" s="570">
        <f t="shared" si="12"/>
        <v>370846.98</v>
      </c>
      <c r="AE37" s="500">
        <v>1</v>
      </c>
      <c r="AF37" s="509" t="s">
        <v>457</v>
      </c>
      <c r="AG37" s="500">
        <v>5.34</v>
      </c>
      <c r="AH37" s="498">
        <f t="shared" si="13"/>
        <v>353187.6</v>
      </c>
      <c r="AI37" s="508"/>
      <c r="AJ37" s="508">
        <f t="shared" si="14"/>
        <v>17659.38</v>
      </c>
      <c r="AK37" s="570">
        <f t="shared" si="15"/>
        <v>370846.98</v>
      </c>
      <c r="AL37" s="510"/>
    </row>
    <row r="38" spans="1:38" s="505" customFormat="1" ht="21" customHeight="1">
      <c r="A38" s="496">
        <v>4</v>
      </c>
      <c r="B38" s="585" t="s">
        <v>464</v>
      </c>
      <c r="C38" s="501" t="s">
        <v>465</v>
      </c>
      <c r="D38" s="496" t="s">
        <v>466</v>
      </c>
      <c r="E38" s="500">
        <v>1</v>
      </c>
      <c r="F38" s="509" t="s">
        <v>467</v>
      </c>
      <c r="G38" s="500">
        <v>3.42</v>
      </c>
      <c r="H38" s="498">
        <f t="shared" si="6"/>
        <v>226198.8</v>
      </c>
      <c r="I38" s="508"/>
      <c r="J38" s="508"/>
      <c r="K38" s="570">
        <f t="shared" si="7"/>
        <v>226198.8</v>
      </c>
      <c r="L38" s="500">
        <v>1</v>
      </c>
      <c r="M38" s="509" t="s">
        <v>468</v>
      </c>
      <c r="N38" s="500">
        <v>3.21</v>
      </c>
      <c r="O38" s="498">
        <f t="shared" si="8"/>
        <v>212309.4</v>
      </c>
      <c r="P38" s="508"/>
      <c r="Q38" s="508"/>
      <c r="R38" s="570">
        <f t="shared" si="10"/>
        <v>212309.4</v>
      </c>
      <c r="S38" s="570">
        <f t="shared" si="2"/>
        <v>0</v>
      </c>
      <c r="T38" s="570">
        <f t="shared" si="3"/>
        <v>13889.399999999994</v>
      </c>
      <c r="U38" s="570">
        <f t="shared" si="3"/>
        <v>0</v>
      </c>
      <c r="V38" s="570">
        <f t="shared" si="3"/>
        <v>0</v>
      </c>
      <c r="W38" s="570">
        <f t="shared" si="4"/>
        <v>13889.399999999994</v>
      </c>
      <c r="X38" s="500">
        <v>1</v>
      </c>
      <c r="Y38" s="509" t="s">
        <v>469</v>
      </c>
      <c r="Z38" s="500">
        <v>3.53</v>
      </c>
      <c r="AA38" s="498">
        <f t="shared" si="11"/>
        <v>233474.19999999998</v>
      </c>
      <c r="AB38" s="508"/>
      <c r="AC38" s="508"/>
      <c r="AD38" s="570">
        <f t="shared" si="12"/>
        <v>233474.19999999998</v>
      </c>
      <c r="AE38" s="500">
        <v>1</v>
      </c>
      <c r="AF38" s="509" t="s">
        <v>470</v>
      </c>
      <c r="AG38" s="500">
        <v>3.64</v>
      </c>
      <c r="AH38" s="498">
        <f t="shared" si="13"/>
        <v>240749.6</v>
      </c>
      <c r="AI38" s="508"/>
      <c r="AJ38" s="508"/>
      <c r="AK38" s="570">
        <f t="shared" si="15"/>
        <v>240749.6</v>
      </c>
      <c r="AL38" s="510"/>
    </row>
    <row r="39" spans="1:38" s="505" customFormat="1" ht="24.75" customHeight="1">
      <c r="A39" s="496">
        <v>5</v>
      </c>
      <c r="B39" s="585" t="s">
        <v>471</v>
      </c>
      <c r="C39" s="501" t="s">
        <v>472</v>
      </c>
      <c r="D39" s="496" t="s">
        <v>473</v>
      </c>
      <c r="E39" s="500">
        <v>1</v>
      </c>
      <c r="F39" s="496" t="s">
        <v>474</v>
      </c>
      <c r="G39" s="500">
        <v>3.88</v>
      </c>
      <c r="H39" s="498">
        <f t="shared" si="6"/>
        <v>256623.19999999998</v>
      </c>
      <c r="I39" s="508"/>
      <c r="J39" s="508">
        <f>H39*0.05</f>
        <v>12831.16</v>
      </c>
      <c r="K39" s="570">
        <f t="shared" si="7"/>
        <v>269454.36</v>
      </c>
      <c r="L39" s="500">
        <v>1</v>
      </c>
      <c r="M39" s="496" t="s">
        <v>475</v>
      </c>
      <c r="N39" s="500">
        <v>3.76</v>
      </c>
      <c r="O39" s="498">
        <f t="shared" si="8"/>
        <v>248686.4</v>
      </c>
      <c r="P39" s="508"/>
      <c r="Q39" s="508">
        <f t="shared" si="9"/>
        <v>12434.32</v>
      </c>
      <c r="R39" s="570">
        <f t="shared" si="10"/>
        <v>261120.72</v>
      </c>
      <c r="S39" s="570">
        <f t="shared" si="2"/>
        <v>0</v>
      </c>
      <c r="T39" s="570">
        <f t="shared" si="3"/>
        <v>7936.799999999988</v>
      </c>
      <c r="U39" s="570">
        <f t="shared" si="3"/>
        <v>0</v>
      </c>
      <c r="V39" s="570">
        <f t="shared" si="3"/>
        <v>396.84000000000015</v>
      </c>
      <c r="W39" s="570">
        <f t="shared" si="4"/>
        <v>8333.639999999989</v>
      </c>
      <c r="X39" s="500">
        <v>1</v>
      </c>
      <c r="Y39" s="496" t="s">
        <v>476</v>
      </c>
      <c r="Z39" s="500">
        <v>3.88</v>
      </c>
      <c r="AA39" s="498">
        <f t="shared" si="11"/>
        <v>256623.19999999998</v>
      </c>
      <c r="AB39" s="508"/>
      <c r="AC39" s="508">
        <f>AA39*0.05</f>
        <v>12831.16</v>
      </c>
      <c r="AD39" s="570">
        <f t="shared" si="12"/>
        <v>269454.36</v>
      </c>
      <c r="AE39" s="500">
        <v>1</v>
      </c>
      <c r="AF39" s="496" t="s">
        <v>477</v>
      </c>
      <c r="AG39" s="500">
        <v>4.01</v>
      </c>
      <c r="AH39" s="498">
        <f t="shared" si="13"/>
        <v>265221.39999999997</v>
      </c>
      <c r="AI39" s="508"/>
      <c r="AJ39" s="508">
        <f t="shared" si="14"/>
        <v>13261.07</v>
      </c>
      <c r="AK39" s="570">
        <f t="shared" si="15"/>
        <v>278482.47</v>
      </c>
      <c r="AL39" s="510"/>
    </row>
    <row r="40" spans="1:38" ht="21" customHeight="1">
      <c r="A40" s="496">
        <v>6</v>
      </c>
      <c r="B40" s="585" t="s">
        <v>478</v>
      </c>
      <c r="C40" s="501" t="s">
        <v>479</v>
      </c>
      <c r="D40" s="496" t="s">
        <v>480</v>
      </c>
      <c r="E40" s="500">
        <v>1</v>
      </c>
      <c r="F40" s="496" t="s">
        <v>481</v>
      </c>
      <c r="G40" s="500">
        <v>4.01</v>
      </c>
      <c r="H40" s="498">
        <f t="shared" si="6"/>
        <v>265221.39999999997</v>
      </c>
      <c r="I40" s="508"/>
      <c r="J40" s="508">
        <f>H40*0.05</f>
        <v>13261.07</v>
      </c>
      <c r="K40" s="570">
        <f t="shared" si="7"/>
        <v>278482.47</v>
      </c>
      <c r="L40" s="500">
        <v>1</v>
      </c>
      <c r="M40" s="496" t="s">
        <v>482</v>
      </c>
      <c r="N40" s="500">
        <v>4.01</v>
      </c>
      <c r="O40" s="498">
        <f t="shared" si="8"/>
        <v>265221.39999999997</v>
      </c>
      <c r="P40" s="508"/>
      <c r="Q40" s="508">
        <f t="shared" si="9"/>
        <v>13261.07</v>
      </c>
      <c r="R40" s="570">
        <f t="shared" si="10"/>
        <v>278482.47</v>
      </c>
      <c r="S40" s="570">
        <f t="shared" si="2"/>
        <v>0</v>
      </c>
      <c r="T40" s="570">
        <f t="shared" si="3"/>
        <v>0</v>
      </c>
      <c r="U40" s="570">
        <f t="shared" si="3"/>
        <v>0</v>
      </c>
      <c r="V40" s="570">
        <f t="shared" si="3"/>
        <v>0</v>
      </c>
      <c r="W40" s="570">
        <f t="shared" si="4"/>
        <v>0</v>
      </c>
      <c r="X40" s="500">
        <v>1</v>
      </c>
      <c r="Y40" s="496" t="s">
        <v>483</v>
      </c>
      <c r="Z40" s="500">
        <v>4.01</v>
      </c>
      <c r="AA40" s="498">
        <f t="shared" si="11"/>
        <v>265221.39999999997</v>
      </c>
      <c r="AB40" s="508"/>
      <c r="AC40" s="508">
        <f>AA40*0.05</f>
        <v>13261.07</v>
      </c>
      <c r="AD40" s="570">
        <f t="shared" si="12"/>
        <v>278482.47</v>
      </c>
      <c r="AE40" s="500">
        <v>1</v>
      </c>
      <c r="AF40" s="496" t="s">
        <v>484</v>
      </c>
      <c r="AG40" s="500">
        <v>4.13</v>
      </c>
      <c r="AH40" s="498">
        <f t="shared" si="13"/>
        <v>273158.2</v>
      </c>
      <c r="AI40" s="508"/>
      <c r="AJ40" s="508">
        <f t="shared" si="14"/>
        <v>13657.910000000002</v>
      </c>
      <c r="AK40" s="570">
        <f t="shared" si="15"/>
        <v>286816.11</v>
      </c>
      <c r="AL40" s="510"/>
    </row>
    <row r="41" spans="1:38" ht="21" customHeight="1">
      <c r="A41" s="496">
        <v>7</v>
      </c>
      <c r="B41" s="585" t="s">
        <v>485</v>
      </c>
      <c r="C41" s="501" t="s">
        <v>486</v>
      </c>
      <c r="D41" s="496" t="s">
        <v>487</v>
      </c>
      <c r="E41" s="500">
        <v>1</v>
      </c>
      <c r="F41" s="496" t="s">
        <v>488</v>
      </c>
      <c r="G41" s="500">
        <v>2.08</v>
      </c>
      <c r="H41" s="498">
        <f t="shared" si="6"/>
        <v>137571.2</v>
      </c>
      <c r="I41" s="508"/>
      <c r="J41" s="508">
        <f>H41*0.05</f>
        <v>6878.560000000001</v>
      </c>
      <c r="K41" s="570">
        <f t="shared" si="7"/>
        <v>144449.76</v>
      </c>
      <c r="L41" s="500">
        <v>1</v>
      </c>
      <c r="M41" s="496" t="s">
        <v>489</v>
      </c>
      <c r="N41" s="500">
        <v>2.08</v>
      </c>
      <c r="O41" s="498">
        <f t="shared" si="8"/>
        <v>137571.2</v>
      </c>
      <c r="P41" s="508"/>
      <c r="Q41" s="508">
        <f t="shared" si="9"/>
        <v>6878.560000000001</v>
      </c>
      <c r="R41" s="570">
        <f t="shared" si="10"/>
        <v>144449.76</v>
      </c>
      <c r="S41" s="570">
        <f t="shared" si="2"/>
        <v>0</v>
      </c>
      <c r="T41" s="570">
        <f t="shared" si="3"/>
        <v>0</v>
      </c>
      <c r="U41" s="570">
        <f t="shared" si="3"/>
        <v>0</v>
      </c>
      <c r="V41" s="570">
        <f t="shared" si="3"/>
        <v>0</v>
      </c>
      <c r="W41" s="570">
        <f t="shared" si="4"/>
        <v>0</v>
      </c>
      <c r="X41" s="500">
        <v>1</v>
      </c>
      <c r="Y41" s="496" t="s">
        <v>490</v>
      </c>
      <c r="Z41" s="500">
        <v>2.08</v>
      </c>
      <c r="AA41" s="498">
        <f t="shared" si="11"/>
        <v>137571.2</v>
      </c>
      <c r="AB41" s="508"/>
      <c r="AC41" s="508">
        <f>AA41*0.05</f>
        <v>6878.560000000001</v>
      </c>
      <c r="AD41" s="570">
        <f t="shared" si="12"/>
        <v>144449.76</v>
      </c>
      <c r="AE41" s="500">
        <v>1</v>
      </c>
      <c r="AF41" s="496" t="s">
        <v>491</v>
      </c>
      <c r="AG41" s="500">
        <v>2.14</v>
      </c>
      <c r="AH41" s="498">
        <f t="shared" si="13"/>
        <v>141539.6</v>
      </c>
      <c r="AI41" s="508"/>
      <c r="AJ41" s="508">
        <f t="shared" si="14"/>
        <v>7076.9800000000005</v>
      </c>
      <c r="AK41" s="570">
        <f t="shared" si="15"/>
        <v>148616.58000000002</v>
      </c>
      <c r="AL41" s="510"/>
    </row>
    <row r="42" spans="1:38" ht="21" customHeight="1">
      <c r="A42" s="496"/>
      <c r="B42" s="583" t="s">
        <v>181</v>
      </c>
      <c r="C42" s="502" t="s">
        <v>1</v>
      </c>
      <c r="D42" s="502" t="s">
        <v>1</v>
      </c>
      <c r="E42" s="497">
        <f>SUM(E35:E41)</f>
        <v>7</v>
      </c>
      <c r="F42" s="502" t="s">
        <v>1</v>
      </c>
      <c r="G42" s="497"/>
      <c r="H42" s="497">
        <f>SUM(H35:H41)</f>
        <v>1882344.3999999997</v>
      </c>
      <c r="I42" s="497">
        <f>SUM(I35:I41)</f>
        <v>0</v>
      </c>
      <c r="J42" s="497">
        <f>SUM(J35:J41)</f>
        <v>65677.02</v>
      </c>
      <c r="K42" s="497">
        <f>SUM(K35:K41)</f>
        <v>1948021.42</v>
      </c>
      <c r="L42" s="497">
        <f>SUM(L35:L41)</f>
        <v>7</v>
      </c>
      <c r="M42" s="502" t="s">
        <v>1</v>
      </c>
      <c r="N42" s="497"/>
      <c r="O42" s="497">
        <f>SUM(O35:O41)</f>
        <v>1860518.1999999997</v>
      </c>
      <c r="P42" s="497">
        <f aca="true" t="shared" si="16" ref="P42:W42">SUM(P35:P41)</f>
        <v>0</v>
      </c>
      <c r="Q42" s="497">
        <f t="shared" si="16"/>
        <v>65280.18000000001</v>
      </c>
      <c r="R42" s="497">
        <f t="shared" si="16"/>
        <v>1925798.38</v>
      </c>
      <c r="S42" s="497">
        <f t="shared" si="16"/>
        <v>0</v>
      </c>
      <c r="T42" s="497">
        <f t="shared" si="16"/>
        <v>21826.199999999983</v>
      </c>
      <c r="U42" s="497">
        <f t="shared" si="16"/>
        <v>0</v>
      </c>
      <c r="V42" s="497">
        <f t="shared" si="16"/>
        <v>396.84000000000015</v>
      </c>
      <c r="W42" s="497">
        <f t="shared" si="16"/>
        <v>22223.039999999983</v>
      </c>
      <c r="X42" s="497">
        <f>SUM(X35:X41)</f>
        <v>7</v>
      </c>
      <c r="Y42" s="502" t="s">
        <v>1</v>
      </c>
      <c r="Z42" s="497"/>
      <c r="AA42" s="497">
        <f>SUM(AA35:AA41)</f>
        <v>1889619.7999999998</v>
      </c>
      <c r="AB42" s="497">
        <f>SUM(AB35:AB41)</f>
        <v>0</v>
      </c>
      <c r="AC42" s="497">
        <f>SUM(AC35:AC41)</f>
        <v>65677.02</v>
      </c>
      <c r="AD42" s="497">
        <f>SUM(AD35:AD41)</f>
        <v>1955296.8199999998</v>
      </c>
      <c r="AE42" s="497">
        <f>SUM(AE35:AE41)</f>
        <v>7</v>
      </c>
      <c r="AF42" s="502" t="s">
        <v>1</v>
      </c>
      <c r="AG42" s="497"/>
      <c r="AH42" s="497">
        <f>SUM(AH35:AH41)</f>
        <v>1917398.5999999999</v>
      </c>
      <c r="AI42" s="497">
        <f>SUM(AI35:AI41)</f>
        <v>0</v>
      </c>
      <c r="AJ42" s="497">
        <f>SUM(AJ35:AJ41)</f>
        <v>66702.19</v>
      </c>
      <c r="AK42" s="497">
        <f>SUM(AK35:AK41)</f>
        <v>1984100.79</v>
      </c>
      <c r="AL42" s="510"/>
    </row>
    <row r="43" spans="1:38" ht="52.5" customHeight="1">
      <c r="A43" s="496"/>
      <c r="B43" s="584" t="s">
        <v>492</v>
      </c>
      <c r="C43" s="502"/>
      <c r="D43" s="502"/>
      <c r="E43" s="506"/>
      <c r="F43" s="502"/>
      <c r="G43" s="506"/>
      <c r="H43" s="499"/>
      <c r="I43" s="499"/>
      <c r="J43" s="499"/>
      <c r="K43" s="499"/>
      <c r="L43" s="506"/>
      <c r="M43" s="502"/>
      <c r="N43" s="506"/>
      <c r="O43" s="499"/>
      <c r="P43" s="499"/>
      <c r="Q43" s="499"/>
      <c r="R43" s="499"/>
      <c r="S43" s="570"/>
      <c r="T43" s="570"/>
      <c r="U43" s="570"/>
      <c r="V43" s="570"/>
      <c r="W43" s="570"/>
      <c r="X43" s="506"/>
      <c r="Y43" s="502"/>
      <c r="Z43" s="506"/>
      <c r="AA43" s="499"/>
      <c r="AB43" s="499"/>
      <c r="AC43" s="499"/>
      <c r="AD43" s="499"/>
      <c r="AE43" s="506"/>
      <c r="AF43" s="502"/>
      <c r="AG43" s="506"/>
      <c r="AH43" s="499"/>
      <c r="AI43" s="499"/>
      <c r="AJ43" s="499"/>
      <c r="AK43" s="499"/>
      <c r="AL43" s="510"/>
    </row>
    <row r="44" spans="1:38" ht="21" customHeight="1">
      <c r="A44" s="496">
        <v>1</v>
      </c>
      <c r="B44" s="585" t="s">
        <v>493</v>
      </c>
      <c r="C44" s="501" t="s">
        <v>494</v>
      </c>
      <c r="D44" s="520" t="s">
        <v>495</v>
      </c>
      <c r="E44" s="500">
        <v>1</v>
      </c>
      <c r="F44" s="509" t="s">
        <v>454</v>
      </c>
      <c r="G44" s="500">
        <v>5.01</v>
      </c>
      <c r="H44" s="498">
        <f>G44*66140</f>
        <v>331361.39999999997</v>
      </c>
      <c r="I44" s="508"/>
      <c r="J44" s="508"/>
      <c r="K44" s="570">
        <f>H44+I44+J44</f>
        <v>331361.39999999997</v>
      </c>
      <c r="L44" s="500">
        <v>1</v>
      </c>
      <c r="M44" s="509" t="s">
        <v>455</v>
      </c>
      <c r="N44" s="500">
        <v>5.01</v>
      </c>
      <c r="O44" s="498">
        <f>N44*66140</f>
        <v>331361.39999999997</v>
      </c>
      <c r="P44" s="508"/>
      <c r="Q44" s="508"/>
      <c r="R44" s="570">
        <f>O44+P44+Q44</f>
        <v>331361.39999999997</v>
      </c>
      <c r="S44" s="570">
        <f t="shared" si="2"/>
        <v>0</v>
      </c>
      <c r="T44" s="570">
        <f t="shared" si="3"/>
        <v>0</v>
      </c>
      <c r="U44" s="570">
        <f t="shared" si="3"/>
        <v>0</v>
      </c>
      <c r="V44" s="570">
        <f t="shared" si="3"/>
        <v>0</v>
      </c>
      <c r="W44" s="570">
        <f t="shared" si="4"/>
        <v>0</v>
      </c>
      <c r="X44" s="500">
        <v>1</v>
      </c>
      <c r="Y44" s="509" t="s">
        <v>456</v>
      </c>
      <c r="Z44" s="500">
        <v>5.01</v>
      </c>
      <c r="AA44" s="498">
        <f>Z44*66140</f>
        <v>331361.39999999997</v>
      </c>
      <c r="AB44" s="508"/>
      <c r="AC44" s="508"/>
      <c r="AD44" s="570">
        <f>AA44+AB44+AC44</f>
        <v>331361.39999999997</v>
      </c>
      <c r="AE44" s="500">
        <v>1</v>
      </c>
      <c r="AF44" s="509" t="s">
        <v>455</v>
      </c>
      <c r="AG44" s="500">
        <v>5.01</v>
      </c>
      <c r="AH44" s="498">
        <f>AG44*66140</f>
        <v>331361.39999999997</v>
      </c>
      <c r="AI44" s="508"/>
      <c r="AJ44" s="508"/>
      <c r="AK44" s="570">
        <f>AH44+AI44+AJ44</f>
        <v>331361.39999999997</v>
      </c>
      <c r="AL44" s="510"/>
    </row>
    <row r="45" spans="1:38" ht="21" customHeight="1">
      <c r="A45" s="496">
        <v>2</v>
      </c>
      <c r="B45" s="585" t="s">
        <v>496</v>
      </c>
      <c r="C45" s="501" t="s">
        <v>497</v>
      </c>
      <c r="D45" s="520" t="s">
        <v>498</v>
      </c>
      <c r="E45" s="500">
        <v>1</v>
      </c>
      <c r="F45" s="509" t="s">
        <v>454</v>
      </c>
      <c r="G45" s="500">
        <v>4.14</v>
      </c>
      <c r="H45" s="498">
        <f>G45*66140</f>
        <v>273819.6</v>
      </c>
      <c r="I45" s="508"/>
      <c r="J45" s="508"/>
      <c r="K45" s="570">
        <f>H45+I45+J45</f>
        <v>273819.6</v>
      </c>
      <c r="L45" s="500">
        <v>1</v>
      </c>
      <c r="M45" s="509" t="s">
        <v>455</v>
      </c>
      <c r="N45" s="500">
        <v>4.14</v>
      </c>
      <c r="O45" s="498">
        <f>N45*66140</f>
        <v>273819.6</v>
      </c>
      <c r="P45" s="508"/>
      <c r="Q45" s="508"/>
      <c r="R45" s="570">
        <f>O45+P45+Q45</f>
        <v>273819.6</v>
      </c>
      <c r="S45" s="570">
        <f t="shared" si="2"/>
        <v>0</v>
      </c>
      <c r="T45" s="570">
        <f t="shared" si="3"/>
        <v>0</v>
      </c>
      <c r="U45" s="570">
        <f t="shared" si="3"/>
        <v>0</v>
      </c>
      <c r="V45" s="570">
        <f t="shared" si="3"/>
        <v>0</v>
      </c>
      <c r="W45" s="570">
        <f t="shared" si="4"/>
        <v>0</v>
      </c>
      <c r="X45" s="500">
        <v>1</v>
      </c>
      <c r="Y45" s="509" t="s">
        <v>456</v>
      </c>
      <c r="Z45" s="500">
        <v>4.14</v>
      </c>
      <c r="AA45" s="498">
        <f>Z45*66140</f>
        <v>273819.6</v>
      </c>
      <c r="AB45" s="508"/>
      <c r="AC45" s="508"/>
      <c r="AD45" s="570">
        <f>AA45+AB45+AC45</f>
        <v>273819.6</v>
      </c>
      <c r="AE45" s="500">
        <v>1</v>
      </c>
      <c r="AF45" s="509" t="s">
        <v>455</v>
      </c>
      <c r="AG45" s="500">
        <v>4.14</v>
      </c>
      <c r="AH45" s="498">
        <f>AG45*66140</f>
        <v>273819.6</v>
      </c>
      <c r="AI45" s="508"/>
      <c r="AJ45" s="508"/>
      <c r="AK45" s="570">
        <f>AH45+AI45+AJ45</f>
        <v>273819.6</v>
      </c>
      <c r="AL45" s="510"/>
    </row>
    <row r="46" spans="1:38" ht="27" customHeight="1">
      <c r="A46" s="496">
        <v>3</v>
      </c>
      <c r="B46" s="585"/>
      <c r="C46" s="501" t="s">
        <v>499</v>
      </c>
      <c r="D46" s="520" t="s">
        <v>500</v>
      </c>
      <c r="E46" s="500">
        <v>1</v>
      </c>
      <c r="F46" s="511" t="s">
        <v>446</v>
      </c>
      <c r="G46" s="500">
        <v>3.31</v>
      </c>
      <c r="H46" s="498">
        <f>G46*66140</f>
        <v>218923.4</v>
      </c>
      <c r="I46" s="508"/>
      <c r="J46" s="508"/>
      <c r="K46" s="570">
        <f>H46+I46+J46</f>
        <v>218923.4</v>
      </c>
      <c r="L46" s="500">
        <v>1</v>
      </c>
      <c r="M46" s="496" t="s">
        <v>447</v>
      </c>
      <c r="N46" s="500">
        <v>3.21</v>
      </c>
      <c r="O46" s="498">
        <f>N46*66140</f>
        <v>212309.4</v>
      </c>
      <c r="P46" s="508"/>
      <c r="Q46" s="508"/>
      <c r="R46" s="570">
        <f>O46+P46+Q46</f>
        <v>212309.4</v>
      </c>
      <c r="S46" s="570">
        <f t="shared" si="2"/>
        <v>0</v>
      </c>
      <c r="T46" s="570">
        <f t="shared" si="3"/>
        <v>6614</v>
      </c>
      <c r="U46" s="570">
        <f t="shared" si="3"/>
        <v>0</v>
      </c>
      <c r="V46" s="570">
        <f t="shared" si="3"/>
        <v>0</v>
      </c>
      <c r="W46" s="570">
        <f t="shared" si="4"/>
        <v>6614</v>
      </c>
      <c r="X46" s="500">
        <v>1</v>
      </c>
      <c r="Y46" s="511" t="s">
        <v>448</v>
      </c>
      <c r="Z46" s="500">
        <v>3.42</v>
      </c>
      <c r="AA46" s="498">
        <f>Z46*66140</f>
        <v>226198.8</v>
      </c>
      <c r="AB46" s="508"/>
      <c r="AC46" s="508"/>
      <c r="AD46" s="570">
        <f>AA46+AB46+AC46</f>
        <v>226198.8</v>
      </c>
      <c r="AE46" s="500">
        <v>1</v>
      </c>
      <c r="AF46" s="496" t="s">
        <v>501</v>
      </c>
      <c r="AG46" s="500">
        <v>3.53</v>
      </c>
      <c r="AH46" s="498">
        <f>AG46*66140</f>
        <v>233474.19999999998</v>
      </c>
      <c r="AI46" s="508"/>
      <c r="AJ46" s="508"/>
      <c r="AK46" s="570">
        <f>AH46+AI46+AJ46</f>
        <v>233474.19999999998</v>
      </c>
      <c r="AL46" s="510"/>
    </row>
    <row r="47" spans="1:38" s="505" customFormat="1" ht="21" customHeight="1">
      <c r="A47" s="496">
        <v>4</v>
      </c>
      <c r="B47" s="585" t="s">
        <v>502</v>
      </c>
      <c r="C47" s="501" t="s">
        <v>503</v>
      </c>
      <c r="D47" s="520" t="s">
        <v>504</v>
      </c>
      <c r="E47" s="502">
        <v>1</v>
      </c>
      <c r="F47" s="509" t="s">
        <v>505</v>
      </c>
      <c r="G47" s="512">
        <v>3.11</v>
      </c>
      <c r="H47" s="498">
        <f>G47*66140</f>
        <v>205695.4</v>
      </c>
      <c r="I47" s="502"/>
      <c r="J47" s="508">
        <f>H47*0.05</f>
        <v>10284.77</v>
      </c>
      <c r="K47" s="570">
        <f>H47+I47+J47</f>
        <v>215980.16999999998</v>
      </c>
      <c r="L47" s="502">
        <v>1</v>
      </c>
      <c r="M47" s="509" t="s">
        <v>455</v>
      </c>
      <c r="N47" s="512">
        <v>3.11</v>
      </c>
      <c r="O47" s="498">
        <f>N47*66140</f>
        <v>205695.4</v>
      </c>
      <c r="P47" s="502"/>
      <c r="Q47" s="508">
        <f>O47*0.05</f>
        <v>10284.77</v>
      </c>
      <c r="R47" s="570">
        <f>O47+P47+Q47</f>
        <v>215980.16999999998</v>
      </c>
      <c r="S47" s="570">
        <f t="shared" si="2"/>
        <v>0</v>
      </c>
      <c r="T47" s="570">
        <f t="shared" si="3"/>
        <v>0</v>
      </c>
      <c r="U47" s="570">
        <f t="shared" si="3"/>
        <v>0</v>
      </c>
      <c r="V47" s="570">
        <f t="shared" si="3"/>
        <v>0</v>
      </c>
      <c r="W47" s="570">
        <f t="shared" si="4"/>
        <v>0</v>
      </c>
      <c r="X47" s="502">
        <v>1</v>
      </c>
      <c r="Y47" s="509" t="s">
        <v>456</v>
      </c>
      <c r="Z47" s="512">
        <v>3.11</v>
      </c>
      <c r="AA47" s="498">
        <f>Z47*66140</f>
        <v>205695.4</v>
      </c>
      <c r="AB47" s="502"/>
      <c r="AC47" s="508">
        <f>AA47*0.05</f>
        <v>10284.77</v>
      </c>
      <c r="AD47" s="570">
        <f>AA47+AB47+AC47</f>
        <v>215980.16999999998</v>
      </c>
      <c r="AE47" s="502">
        <v>1</v>
      </c>
      <c r="AF47" s="509" t="s">
        <v>455</v>
      </c>
      <c r="AG47" s="512">
        <v>3.11</v>
      </c>
      <c r="AH47" s="498">
        <f>AG47*66140</f>
        <v>205695.4</v>
      </c>
      <c r="AI47" s="502"/>
      <c r="AJ47" s="508">
        <f>AH47*0.05</f>
        <v>10284.77</v>
      </c>
      <c r="AK47" s="570">
        <f>AH47+AI47+AJ47</f>
        <v>215980.16999999998</v>
      </c>
      <c r="AL47" s="510"/>
    </row>
    <row r="48" spans="1:38" ht="21" customHeight="1">
      <c r="A48" s="496"/>
      <c r="B48" s="583" t="s">
        <v>181</v>
      </c>
      <c r="C48" s="502" t="s">
        <v>1</v>
      </c>
      <c r="D48" s="521" t="s">
        <v>1</v>
      </c>
      <c r="E48" s="500">
        <f>SUM(E44:E47)</f>
        <v>4</v>
      </c>
      <c r="F48" s="502" t="s">
        <v>1</v>
      </c>
      <c r="G48" s="500"/>
      <c r="H48" s="500">
        <f>SUM(H44:H47)</f>
        <v>1029799.8</v>
      </c>
      <c r="I48" s="500">
        <f>SUM(I44:I47)</f>
        <v>0</v>
      </c>
      <c r="J48" s="500">
        <f>SUM(J44:J47)</f>
        <v>10284.77</v>
      </c>
      <c r="K48" s="500">
        <f>SUM(K44:K47)</f>
        <v>1040084.5700000001</v>
      </c>
      <c r="L48" s="500">
        <f>SUM(L44:L47)</f>
        <v>4</v>
      </c>
      <c r="M48" s="502" t="s">
        <v>1</v>
      </c>
      <c r="N48" s="500"/>
      <c r="O48" s="500">
        <f>SUM(O44:O47)</f>
        <v>1023185.8</v>
      </c>
      <c r="P48" s="500">
        <f aca="true" t="shared" si="17" ref="P48:W48">SUM(P44:P47)</f>
        <v>0</v>
      </c>
      <c r="Q48" s="500">
        <f t="shared" si="17"/>
        <v>10284.77</v>
      </c>
      <c r="R48" s="500">
        <f t="shared" si="17"/>
        <v>1033470.5700000001</v>
      </c>
      <c r="S48" s="500">
        <f t="shared" si="17"/>
        <v>0</v>
      </c>
      <c r="T48" s="500">
        <f t="shared" si="17"/>
        <v>6614</v>
      </c>
      <c r="U48" s="500">
        <f t="shared" si="17"/>
        <v>0</v>
      </c>
      <c r="V48" s="500">
        <f t="shared" si="17"/>
        <v>0</v>
      </c>
      <c r="W48" s="500">
        <f t="shared" si="17"/>
        <v>6614</v>
      </c>
      <c r="X48" s="500">
        <f>SUM(X44:X47)</f>
        <v>4</v>
      </c>
      <c r="Y48" s="502" t="s">
        <v>1</v>
      </c>
      <c r="Z48" s="500"/>
      <c r="AA48" s="500">
        <f>SUM(AA44:AA47)</f>
        <v>1037075.2000000001</v>
      </c>
      <c r="AB48" s="500">
        <f>SUM(AB44:AB47)</f>
        <v>0</v>
      </c>
      <c r="AC48" s="500">
        <f>SUM(AC44:AC47)</f>
        <v>10284.77</v>
      </c>
      <c r="AD48" s="500">
        <f>SUM(AD44:AD47)</f>
        <v>1047359.97</v>
      </c>
      <c r="AE48" s="500">
        <f>SUM(AE44:AE47)</f>
        <v>4</v>
      </c>
      <c r="AF48" s="502" t="s">
        <v>1</v>
      </c>
      <c r="AG48" s="500"/>
      <c r="AH48" s="500">
        <f>SUM(AH44:AH47)</f>
        <v>1044350.6</v>
      </c>
      <c r="AI48" s="500">
        <f>SUM(AI44:AI47)</f>
        <v>0</v>
      </c>
      <c r="AJ48" s="500">
        <f>SUM(AJ44:AJ47)</f>
        <v>10284.77</v>
      </c>
      <c r="AK48" s="500">
        <f>SUM(AK44:AK47)</f>
        <v>1054635.3699999999</v>
      </c>
      <c r="AL48" s="510"/>
    </row>
    <row r="49" spans="1:38" ht="29.25" customHeight="1">
      <c r="A49" s="496"/>
      <c r="B49" s="584" t="s">
        <v>506</v>
      </c>
      <c r="C49" s="502"/>
      <c r="D49" s="521"/>
      <c r="E49" s="497"/>
      <c r="F49" s="502"/>
      <c r="G49" s="497"/>
      <c r="H49" s="497"/>
      <c r="I49" s="497"/>
      <c r="J49" s="497"/>
      <c r="K49" s="497"/>
      <c r="L49" s="497"/>
      <c r="M49" s="502"/>
      <c r="N49" s="497"/>
      <c r="O49" s="497"/>
      <c r="P49" s="497"/>
      <c r="Q49" s="497"/>
      <c r="R49" s="497"/>
      <c r="S49" s="570"/>
      <c r="T49" s="570"/>
      <c r="U49" s="570"/>
      <c r="V49" s="570"/>
      <c r="W49" s="570"/>
      <c r="X49" s="497"/>
      <c r="Y49" s="502"/>
      <c r="Z49" s="497"/>
      <c r="AA49" s="497"/>
      <c r="AB49" s="497"/>
      <c r="AC49" s="497"/>
      <c r="AD49" s="497"/>
      <c r="AE49" s="497"/>
      <c r="AF49" s="502"/>
      <c r="AG49" s="497"/>
      <c r="AH49" s="497"/>
      <c r="AI49" s="497"/>
      <c r="AJ49" s="497"/>
      <c r="AK49" s="497"/>
      <c r="AL49" s="510"/>
    </row>
    <row r="50" spans="1:38" ht="21" customHeight="1">
      <c r="A50" s="496">
        <v>1</v>
      </c>
      <c r="B50" s="500" t="s">
        <v>507</v>
      </c>
      <c r="C50" s="501" t="s">
        <v>508</v>
      </c>
      <c r="D50" s="520" t="s">
        <v>509</v>
      </c>
      <c r="E50" s="506">
        <v>1</v>
      </c>
      <c r="F50" s="509" t="s">
        <v>454</v>
      </c>
      <c r="G50" s="506">
        <v>6.29</v>
      </c>
      <c r="H50" s="498">
        <f>G50*66140</f>
        <v>416020.6</v>
      </c>
      <c r="I50" s="502"/>
      <c r="J50" s="508"/>
      <c r="K50" s="570">
        <f>H50+I50+J50</f>
        <v>416020.6</v>
      </c>
      <c r="L50" s="506">
        <v>1</v>
      </c>
      <c r="M50" s="509" t="s">
        <v>455</v>
      </c>
      <c r="N50" s="506">
        <v>6.29</v>
      </c>
      <c r="O50" s="498">
        <f>N50*66140</f>
        <v>416020.6</v>
      </c>
      <c r="P50" s="502"/>
      <c r="Q50" s="508"/>
      <c r="R50" s="570">
        <f>O50+P50+Q50</f>
        <v>416020.6</v>
      </c>
      <c r="S50" s="570">
        <f t="shared" si="2"/>
        <v>0</v>
      </c>
      <c r="T50" s="570">
        <f t="shared" si="3"/>
        <v>0</v>
      </c>
      <c r="U50" s="570">
        <f t="shared" si="3"/>
        <v>0</v>
      </c>
      <c r="V50" s="570">
        <f t="shared" si="3"/>
        <v>0</v>
      </c>
      <c r="W50" s="570">
        <f t="shared" si="4"/>
        <v>0</v>
      </c>
      <c r="X50" s="506">
        <v>1</v>
      </c>
      <c r="Y50" s="509" t="s">
        <v>456</v>
      </c>
      <c r="Z50" s="506">
        <v>6.29</v>
      </c>
      <c r="AA50" s="498">
        <f>Z50*66140</f>
        <v>416020.6</v>
      </c>
      <c r="AB50" s="502"/>
      <c r="AC50" s="508"/>
      <c r="AD50" s="570">
        <f>AA50+AB50+AC50</f>
        <v>416020.6</v>
      </c>
      <c r="AE50" s="506">
        <v>1</v>
      </c>
      <c r="AF50" s="509" t="s">
        <v>456</v>
      </c>
      <c r="AG50" s="506">
        <v>6.29</v>
      </c>
      <c r="AH50" s="498">
        <f>AG50*66140</f>
        <v>416020.6</v>
      </c>
      <c r="AI50" s="502"/>
      <c r="AJ50" s="508"/>
      <c r="AK50" s="570">
        <f>AH50+AI50+AJ50</f>
        <v>416020.6</v>
      </c>
      <c r="AL50" s="510"/>
    </row>
    <row r="51" spans="1:38" ht="21" customHeight="1">
      <c r="A51" s="496">
        <v>2</v>
      </c>
      <c r="B51" s="500" t="s">
        <v>510</v>
      </c>
      <c r="C51" s="501" t="s">
        <v>511</v>
      </c>
      <c r="D51" s="520" t="s">
        <v>512</v>
      </c>
      <c r="E51" s="500">
        <v>1</v>
      </c>
      <c r="F51" s="496" t="s">
        <v>513</v>
      </c>
      <c r="G51" s="500">
        <v>4.4</v>
      </c>
      <c r="H51" s="498">
        <f>G51*66140</f>
        <v>291016</v>
      </c>
      <c r="I51" s="502"/>
      <c r="J51" s="508">
        <f>H51*0.05</f>
        <v>14550.800000000001</v>
      </c>
      <c r="K51" s="570">
        <f>H51+I51+J51</f>
        <v>305566.8</v>
      </c>
      <c r="L51" s="500">
        <v>1</v>
      </c>
      <c r="M51" s="496" t="s">
        <v>514</v>
      </c>
      <c r="N51" s="500">
        <v>4.4</v>
      </c>
      <c r="O51" s="498">
        <f>N51*66140</f>
        <v>291016</v>
      </c>
      <c r="P51" s="502"/>
      <c r="Q51" s="508">
        <f>O51*0.05</f>
        <v>14550.800000000001</v>
      </c>
      <c r="R51" s="570">
        <f>O51+P51+Q51</f>
        <v>305566.8</v>
      </c>
      <c r="S51" s="570">
        <f t="shared" si="2"/>
        <v>0</v>
      </c>
      <c r="T51" s="570">
        <f t="shared" si="3"/>
        <v>0</v>
      </c>
      <c r="U51" s="570">
        <f t="shared" si="3"/>
        <v>0</v>
      </c>
      <c r="V51" s="570">
        <f t="shared" si="3"/>
        <v>0</v>
      </c>
      <c r="W51" s="570">
        <f t="shared" si="4"/>
        <v>0</v>
      </c>
      <c r="X51" s="500">
        <v>1</v>
      </c>
      <c r="Y51" s="496" t="s">
        <v>515</v>
      </c>
      <c r="Z51" s="500">
        <v>4.4</v>
      </c>
      <c r="AA51" s="498">
        <f>Z51*66140</f>
        <v>291016</v>
      </c>
      <c r="AB51" s="502"/>
      <c r="AC51" s="508">
        <f>AA51*0.05</f>
        <v>14550.800000000001</v>
      </c>
      <c r="AD51" s="570">
        <f>AA51+AB51+AC51</f>
        <v>305566.8</v>
      </c>
      <c r="AE51" s="500">
        <v>1</v>
      </c>
      <c r="AF51" s="496" t="s">
        <v>513</v>
      </c>
      <c r="AG51" s="500">
        <v>4.4</v>
      </c>
      <c r="AH51" s="498">
        <f>AG51*66140</f>
        <v>291016</v>
      </c>
      <c r="AI51" s="502"/>
      <c r="AJ51" s="508">
        <f>AH51*0.05</f>
        <v>14550.800000000001</v>
      </c>
      <c r="AK51" s="570">
        <f>AH51+AI51+AJ51</f>
        <v>305566.8</v>
      </c>
      <c r="AL51" s="510"/>
    </row>
    <row r="52" spans="1:38" ht="21" customHeight="1">
      <c r="A52" s="496">
        <v>3</v>
      </c>
      <c r="B52" s="585" t="s">
        <v>516</v>
      </c>
      <c r="C52" s="501" t="s">
        <v>511</v>
      </c>
      <c r="D52" s="520" t="s">
        <v>517</v>
      </c>
      <c r="E52" s="500">
        <v>1</v>
      </c>
      <c r="F52" s="496" t="s">
        <v>518</v>
      </c>
      <c r="G52" s="500">
        <v>4.4</v>
      </c>
      <c r="H52" s="498">
        <f>G52*66140</f>
        <v>291016</v>
      </c>
      <c r="I52" s="502"/>
      <c r="J52" s="508">
        <f>H52*0.05</f>
        <v>14550.800000000001</v>
      </c>
      <c r="K52" s="570">
        <f>H52+I52+J52</f>
        <v>305566.8</v>
      </c>
      <c r="L52" s="500">
        <v>1</v>
      </c>
      <c r="M52" s="496" t="s">
        <v>519</v>
      </c>
      <c r="N52" s="500">
        <v>4.4</v>
      </c>
      <c r="O52" s="498">
        <f>N52*66140</f>
        <v>291016</v>
      </c>
      <c r="P52" s="502"/>
      <c r="Q52" s="508">
        <f>O52*0.05</f>
        <v>14550.800000000001</v>
      </c>
      <c r="R52" s="570">
        <f>O52+P52+Q52</f>
        <v>305566.8</v>
      </c>
      <c r="S52" s="570">
        <f t="shared" si="2"/>
        <v>0</v>
      </c>
      <c r="T52" s="570">
        <f t="shared" si="3"/>
        <v>0</v>
      </c>
      <c r="U52" s="570">
        <f t="shared" si="3"/>
        <v>0</v>
      </c>
      <c r="V52" s="570">
        <f t="shared" si="3"/>
        <v>0</v>
      </c>
      <c r="W52" s="570">
        <f t="shared" si="4"/>
        <v>0</v>
      </c>
      <c r="X52" s="500">
        <v>1</v>
      </c>
      <c r="Y52" s="496" t="s">
        <v>518</v>
      </c>
      <c r="Z52" s="500">
        <v>4.4</v>
      </c>
      <c r="AA52" s="498">
        <f>Z52*66140</f>
        <v>291016</v>
      </c>
      <c r="AB52" s="502"/>
      <c r="AC52" s="508">
        <f>AA52*0.05</f>
        <v>14550.800000000001</v>
      </c>
      <c r="AD52" s="570">
        <f>AA52+AB52+AC52</f>
        <v>305566.8</v>
      </c>
      <c r="AE52" s="500">
        <v>1</v>
      </c>
      <c r="AF52" s="496" t="s">
        <v>518</v>
      </c>
      <c r="AG52" s="500">
        <v>4.4</v>
      </c>
      <c r="AH52" s="498">
        <f>AG52*66140</f>
        <v>291016</v>
      </c>
      <c r="AI52" s="502"/>
      <c r="AJ52" s="508">
        <f>AH52*0.05</f>
        <v>14550.800000000001</v>
      </c>
      <c r="AK52" s="570">
        <f>AH52+AI52+AJ52</f>
        <v>305566.8</v>
      </c>
      <c r="AL52" s="510"/>
    </row>
    <row r="53" spans="1:38" ht="21" customHeight="1">
      <c r="A53" s="496">
        <v>4</v>
      </c>
      <c r="B53" s="585" t="s">
        <v>520</v>
      </c>
      <c r="C53" s="501" t="s">
        <v>521</v>
      </c>
      <c r="D53" s="520" t="s">
        <v>522</v>
      </c>
      <c r="E53" s="500">
        <v>1</v>
      </c>
      <c r="F53" s="496" t="s">
        <v>523</v>
      </c>
      <c r="G53" s="500">
        <v>3.11</v>
      </c>
      <c r="H53" s="498">
        <f>G53*66140</f>
        <v>205695.4</v>
      </c>
      <c r="I53" s="502"/>
      <c r="J53" s="508">
        <f>H53*0.05</f>
        <v>10284.77</v>
      </c>
      <c r="K53" s="570">
        <f>H53+I53+J53</f>
        <v>215980.16999999998</v>
      </c>
      <c r="L53" s="500">
        <v>1</v>
      </c>
      <c r="M53" s="496" t="s">
        <v>524</v>
      </c>
      <c r="N53" s="500">
        <v>3.11</v>
      </c>
      <c r="O53" s="498">
        <f>N53*66140</f>
        <v>205695.4</v>
      </c>
      <c r="P53" s="502"/>
      <c r="Q53" s="508">
        <f>O53*0.05</f>
        <v>10284.77</v>
      </c>
      <c r="R53" s="570">
        <f>O53+P53+Q53</f>
        <v>215980.16999999998</v>
      </c>
      <c r="S53" s="570">
        <f t="shared" si="2"/>
        <v>0</v>
      </c>
      <c r="T53" s="570">
        <f t="shared" si="3"/>
        <v>0</v>
      </c>
      <c r="U53" s="570">
        <f t="shared" si="3"/>
        <v>0</v>
      </c>
      <c r="V53" s="570">
        <f t="shared" si="3"/>
        <v>0</v>
      </c>
      <c r="W53" s="570">
        <f t="shared" si="4"/>
        <v>0</v>
      </c>
      <c r="X53" s="500">
        <v>1</v>
      </c>
      <c r="Y53" s="496" t="s">
        <v>523</v>
      </c>
      <c r="Z53" s="500">
        <v>3.11</v>
      </c>
      <c r="AA53" s="498">
        <f>Z53*66140</f>
        <v>205695.4</v>
      </c>
      <c r="AB53" s="502"/>
      <c r="AC53" s="508">
        <f>AA53*0.05</f>
        <v>10284.77</v>
      </c>
      <c r="AD53" s="570">
        <f>AA53+AB53+AC53</f>
        <v>215980.16999999998</v>
      </c>
      <c r="AE53" s="500">
        <v>1</v>
      </c>
      <c r="AF53" s="496" t="s">
        <v>523</v>
      </c>
      <c r="AG53" s="500">
        <v>3.11</v>
      </c>
      <c r="AH53" s="498">
        <f>AG53*66140</f>
        <v>205695.4</v>
      </c>
      <c r="AI53" s="502"/>
      <c r="AJ53" s="508">
        <f>AH53*0.05</f>
        <v>10284.77</v>
      </c>
      <c r="AK53" s="570">
        <f>AH53+AI53+AJ53</f>
        <v>215980.16999999998</v>
      </c>
      <c r="AL53" s="510"/>
    </row>
    <row r="54" spans="1:38" s="505" customFormat="1" ht="21" customHeight="1">
      <c r="A54" s="496">
        <v>5</v>
      </c>
      <c r="B54" s="585" t="s">
        <v>525</v>
      </c>
      <c r="C54" s="501" t="s">
        <v>521</v>
      </c>
      <c r="D54" s="520" t="s">
        <v>526</v>
      </c>
      <c r="E54" s="502">
        <v>1</v>
      </c>
      <c r="F54" s="496" t="s">
        <v>527</v>
      </c>
      <c r="G54" s="512">
        <v>3.64</v>
      </c>
      <c r="H54" s="498">
        <f>G54*66140</f>
        <v>240749.6</v>
      </c>
      <c r="I54" s="502"/>
      <c r="J54" s="508">
        <f>H54*0.05</f>
        <v>12037.480000000001</v>
      </c>
      <c r="K54" s="570">
        <f>H54+I54+J54</f>
        <v>252787.08000000002</v>
      </c>
      <c r="L54" s="502">
        <v>1</v>
      </c>
      <c r="M54" s="496" t="s">
        <v>528</v>
      </c>
      <c r="N54" s="512">
        <v>3.64</v>
      </c>
      <c r="O54" s="498">
        <f>N54*66140</f>
        <v>240749.6</v>
      </c>
      <c r="P54" s="502"/>
      <c r="Q54" s="508"/>
      <c r="R54" s="570">
        <f>O54+P54+Q54</f>
        <v>240749.6</v>
      </c>
      <c r="S54" s="570">
        <f t="shared" si="2"/>
        <v>0</v>
      </c>
      <c r="T54" s="570">
        <f t="shared" si="3"/>
        <v>0</v>
      </c>
      <c r="U54" s="570">
        <f t="shared" si="3"/>
        <v>0</v>
      </c>
      <c r="V54" s="570">
        <f t="shared" si="3"/>
        <v>12037.480000000001</v>
      </c>
      <c r="W54" s="570">
        <f t="shared" si="4"/>
        <v>12037.480000000001</v>
      </c>
      <c r="X54" s="502">
        <v>1</v>
      </c>
      <c r="Y54" s="496" t="s">
        <v>529</v>
      </c>
      <c r="Z54" s="512">
        <v>3.76</v>
      </c>
      <c r="AA54" s="498">
        <f>Z54*66140</f>
        <v>248686.4</v>
      </c>
      <c r="AB54" s="502"/>
      <c r="AC54" s="508">
        <f>AA54*0.05</f>
        <v>12434.32</v>
      </c>
      <c r="AD54" s="570">
        <f>AA54+AB54+AC54</f>
        <v>261120.72</v>
      </c>
      <c r="AE54" s="502">
        <v>1</v>
      </c>
      <c r="AF54" s="496" t="s">
        <v>529</v>
      </c>
      <c r="AG54" s="512">
        <v>3.76</v>
      </c>
      <c r="AH54" s="498">
        <f>AG54*66140</f>
        <v>248686.4</v>
      </c>
      <c r="AI54" s="502"/>
      <c r="AJ54" s="508">
        <f>AH54*0.05</f>
        <v>12434.32</v>
      </c>
      <c r="AK54" s="570">
        <f>AH54+AI54+AJ54</f>
        <v>261120.72</v>
      </c>
      <c r="AL54" s="510"/>
    </row>
    <row r="55" spans="1:38" s="505" customFormat="1" ht="21" customHeight="1">
      <c r="A55" s="496"/>
      <c r="B55" s="583" t="s">
        <v>181</v>
      </c>
      <c r="C55" s="502" t="s">
        <v>1</v>
      </c>
      <c r="D55" s="521" t="s">
        <v>1</v>
      </c>
      <c r="E55" s="502">
        <f>SUM(E50:E54)</f>
        <v>5</v>
      </c>
      <c r="F55" s="502" t="s">
        <v>1</v>
      </c>
      <c r="G55" s="502"/>
      <c r="H55" s="502">
        <f>SUM(H50:H54)</f>
        <v>1444497.6</v>
      </c>
      <c r="I55" s="502">
        <f>SUM(I50:I54)</f>
        <v>0</v>
      </c>
      <c r="J55" s="502">
        <f>SUM(J50:J54)</f>
        <v>51423.850000000006</v>
      </c>
      <c r="K55" s="502">
        <f>SUM(K50:K54)</f>
        <v>1495921.45</v>
      </c>
      <c r="L55" s="502">
        <f>SUM(L50:L54)</f>
        <v>5</v>
      </c>
      <c r="M55" s="502" t="s">
        <v>1</v>
      </c>
      <c r="N55" s="502"/>
      <c r="O55" s="502">
        <f>SUM(O50:O54)</f>
        <v>1444497.6</v>
      </c>
      <c r="P55" s="502">
        <f aca="true" t="shared" si="18" ref="P55:W55">SUM(P50:P54)</f>
        <v>0</v>
      </c>
      <c r="Q55" s="502">
        <f t="shared" si="18"/>
        <v>39386.37</v>
      </c>
      <c r="R55" s="502">
        <f t="shared" si="18"/>
        <v>1483883.97</v>
      </c>
      <c r="S55" s="502">
        <f t="shared" si="18"/>
        <v>0</v>
      </c>
      <c r="T55" s="502">
        <f t="shared" si="18"/>
        <v>0</v>
      </c>
      <c r="U55" s="502">
        <f t="shared" si="18"/>
        <v>0</v>
      </c>
      <c r="V55" s="502">
        <f t="shared" si="18"/>
        <v>12037.480000000001</v>
      </c>
      <c r="W55" s="502">
        <f t="shared" si="18"/>
        <v>12037.480000000001</v>
      </c>
      <c r="X55" s="502">
        <f>SUM(X50:X54)</f>
        <v>5</v>
      </c>
      <c r="Y55" s="502" t="s">
        <v>1</v>
      </c>
      <c r="Z55" s="502"/>
      <c r="AA55" s="502">
        <f>SUM(AA50:AA54)</f>
        <v>1452434.4</v>
      </c>
      <c r="AB55" s="502">
        <f>SUM(AB50:AB54)</f>
        <v>0</v>
      </c>
      <c r="AC55" s="502">
        <f>SUM(AC50:AC54)</f>
        <v>51820.69</v>
      </c>
      <c r="AD55" s="502">
        <f>SUM(AD50:AD54)</f>
        <v>1504255.0899999999</v>
      </c>
      <c r="AE55" s="502">
        <f>SUM(AE50:AE54)</f>
        <v>5</v>
      </c>
      <c r="AF55" s="502" t="s">
        <v>1</v>
      </c>
      <c r="AG55" s="502"/>
      <c r="AH55" s="502">
        <f>SUM(AH50:AH54)</f>
        <v>1452434.4</v>
      </c>
      <c r="AI55" s="502">
        <f>SUM(AI50:AI54)</f>
        <v>0</v>
      </c>
      <c r="AJ55" s="502">
        <f>SUM(AJ50:AJ54)</f>
        <v>51820.69</v>
      </c>
      <c r="AK55" s="502">
        <f>SUM(AK50:AK54)</f>
        <v>1504255.0899999999</v>
      </c>
      <c r="AL55" s="510"/>
    </row>
    <row r="56" spans="1:38" s="505" customFormat="1" ht="21" customHeight="1">
      <c r="A56" s="496"/>
      <c r="B56" s="500" t="s">
        <v>530</v>
      </c>
      <c r="C56" s="513"/>
      <c r="D56" s="521"/>
      <c r="E56" s="514"/>
      <c r="F56" s="502"/>
      <c r="G56" s="514"/>
      <c r="H56" s="502"/>
      <c r="I56" s="502"/>
      <c r="J56" s="502"/>
      <c r="K56" s="502"/>
      <c r="L56" s="514"/>
      <c r="M56" s="502"/>
      <c r="N56" s="514"/>
      <c r="O56" s="502"/>
      <c r="P56" s="502"/>
      <c r="Q56" s="502"/>
      <c r="R56" s="502"/>
      <c r="S56" s="570"/>
      <c r="T56" s="570"/>
      <c r="U56" s="570"/>
      <c r="V56" s="570"/>
      <c r="W56" s="570"/>
      <c r="X56" s="514"/>
      <c r="Y56" s="502"/>
      <c r="Z56" s="514"/>
      <c r="AA56" s="502"/>
      <c r="AB56" s="502"/>
      <c r="AC56" s="502"/>
      <c r="AD56" s="502"/>
      <c r="AE56" s="514"/>
      <c r="AF56" s="502"/>
      <c r="AG56" s="514"/>
      <c r="AH56" s="502"/>
      <c r="AI56" s="502"/>
      <c r="AJ56" s="502"/>
      <c r="AK56" s="502"/>
      <c r="AL56" s="510"/>
    </row>
    <row r="57" spans="1:38" s="505" customFormat="1" ht="21" customHeight="1">
      <c r="A57" s="496">
        <v>1</v>
      </c>
      <c r="B57" s="500"/>
      <c r="C57" s="513" t="s">
        <v>531</v>
      </c>
      <c r="D57" s="520" t="s">
        <v>532</v>
      </c>
      <c r="E57" s="500">
        <v>1</v>
      </c>
      <c r="F57" s="509" t="s">
        <v>533</v>
      </c>
      <c r="G57" s="500">
        <v>4.01</v>
      </c>
      <c r="H57" s="498">
        <f aca="true" t="shared" si="19" ref="H57:H63">G57*66140</f>
        <v>265221.39999999997</v>
      </c>
      <c r="I57" s="502"/>
      <c r="J57" s="508"/>
      <c r="K57" s="570">
        <f>H57+I57+J57</f>
        <v>265221.39999999997</v>
      </c>
      <c r="L57" s="500">
        <v>1</v>
      </c>
      <c r="M57" s="509" t="s">
        <v>534</v>
      </c>
      <c r="N57" s="500">
        <v>3.88</v>
      </c>
      <c r="O57" s="498">
        <f aca="true" t="shared" si="20" ref="O57:O63">N57*66140</f>
        <v>256623.19999999998</v>
      </c>
      <c r="P57" s="502"/>
      <c r="Q57" s="508"/>
      <c r="R57" s="570">
        <f>O57+P57+Q57</f>
        <v>256623.19999999998</v>
      </c>
      <c r="S57" s="570">
        <f t="shared" si="2"/>
        <v>0</v>
      </c>
      <c r="T57" s="570">
        <f t="shared" si="3"/>
        <v>8598.199999999983</v>
      </c>
      <c r="U57" s="570">
        <f t="shared" si="3"/>
        <v>0</v>
      </c>
      <c r="V57" s="570">
        <f t="shared" si="3"/>
        <v>0</v>
      </c>
      <c r="W57" s="570">
        <f t="shared" si="4"/>
        <v>8598.199999999983</v>
      </c>
      <c r="X57" s="500">
        <v>1</v>
      </c>
      <c r="Y57" s="509" t="s">
        <v>535</v>
      </c>
      <c r="Z57" s="500">
        <v>4.14</v>
      </c>
      <c r="AA57" s="498">
        <f aca="true" t="shared" si="21" ref="AA57:AA63">Z57*66140</f>
        <v>273819.6</v>
      </c>
      <c r="AB57" s="502"/>
      <c r="AC57" s="508"/>
      <c r="AD57" s="570">
        <f>AA57+AB57+AC57</f>
        <v>273819.6</v>
      </c>
      <c r="AE57" s="500">
        <v>1</v>
      </c>
      <c r="AF57" s="509" t="s">
        <v>536</v>
      </c>
      <c r="AG57" s="500">
        <v>4.27</v>
      </c>
      <c r="AH57" s="498">
        <f aca="true" t="shared" si="22" ref="AH57:AH63">AG57*66140</f>
        <v>282417.8</v>
      </c>
      <c r="AI57" s="502"/>
      <c r="AJ57" s="508"/>
      <c r="AK57" s="570">
        <f>AH57+AI57+AJ57</f>
        <v>282417.8</v>
      </c>
      <c r="AL57" s="510"/>
    </row>
    <row r="58" spans="1:38" s="586" customFormat="1" ht="21" customHeight="1">
      <c r="A58" s="496">
        <v>2</v>
      </c>
      <c r="B58" s="500" t="s">
        <v>537</v>
      </c>
      <c r="C58" s="513" t="s">
        <v>538</v>
      </c>
      <c r="D58" s="520" t="s">
        <v>539</v>
      </c>
      <c r="E58" s="500">
        <v>1</v>
      </c>
      <c r="F58" s="509" t="s">
        <v>454</v>
      </c>
      <c r="G58" s="500">
        <v>5.17</v>
      </c>
      <c r="H58" s="498">
        <f t="shared" si="19"/>
        <v>341943.8</v>
      </c>
      <c r="I58" s="502"/>
      <c r="J58" s="508">
        <f>H58*0.05</f>
        <v>17097.19</v>
      </c>
      <c r="K58" s="570">
        <f aca="true" t="shared" si="23" ref="K58:K63">H58+I58+J58</f>
        <v>359040.99</v>
      </c>
      <c r="L58" s="500">
        <v>1</v>
      </c>
      <c r="M58" s="509" t="s">
        <v>455</v>
      </c>
      <c r="N58" s="500">
        <v>5.17</v>
      </c>
      <c r="O58" s="498">
        <f t="shared" si="20"/>
        <v>341943.8</v>
      </c>
      <c r="P58" s="502"/>
      <c r="Q58" s="508">
        <f>O58*0.05</f>
        <v>17097.19</v>
      </c>
      <c r="R58" s="570">
        <f aca="true" t="shared" si="24" ref="R58:R63">O58+P58+Q58</f>
        <v>359040.99</v>
      </c>
      <c r="S58" s="570">
        <f t="shared" si="2"/>
        <v>0</v>
      </c>
      <c r="T58" s="570">
        <f t="shared" si="3"/>
        <v>0</v>
      </c>
      <c r="U58" s="570">
        <f t="shared" si="3"/>
        <v>0</v>
      </c>
      <c r="V58" s="570">
        <f t="shared" si="3"/>
        <v>0</v>
      </c>
      <c r="W58" s="570">
        <f t="shared" si="4"/>
        <v>0</v>
      </c>
      <c r="X58" s="500">
        <v>1</v>
      </c>
      <c r="Y58" s="509" t="s">
        <v>540</v>
      </c>
      <c r="Z58" s="500">
        <v>5.17</v>
      </c>
      <c r="AA58" s="498">
        <f t="shared" si="21"/>
        <v>341943.8</v>
      </c>
      <c r="AB58" s="502"/>
      <c r="AC58" s="508">
        <f>AA58*0.05</f>
        <v>17097.19</v>
      </c>
      <c r="AD58" s="570">
        <f aca="true" t="shared" si="25" ref="AD58:AD63">AA58+AB58+AC58</f>
        <v>359040.99</v>
      </c>
      <c r="AE58" s="500">
        <v>1</v>
      </c>
      <c r="AF58" s="509" t="s">
        <v>540</v>
      </c>
      <c r="AG58" s="500">
        <v>5.17</v>
      </c>
      <c r="AH58" s="498">
        <f t="shared" si="22"/>
        <v>341943.8</v>
      </c>
      <c r="AI58" s="502"/>
      <c r="AJ58" s="508">
        <f aca="true" t="shared" si="26" ref="AJ58:AJ63">AH58*0.05</f>
        <v>17097.19</v>
      </c>
      <c r="AK58" s="570">
        <f aca="true" t="shared" si="27" ref="AK58:AK63">AH58+AI58+AJ58</f>
        <v>359040.99</v>
      </c>
      <c r="AL58" s="510"/>
    </row>
    <row r="59" spans="1:38" ht="21" customHeight="1">
      <c r="A59" s="496">
        <v>3</v>
      </c>
      <c r="B59" s="585" t="s">
        <v>541</v>
      </c>
      <c r="C59" s="513" t="s">
        <v>542</v>
      </c>
      <c r="D59" s="520" t="s">
        <v>543</v>
      </c>
      <c r="E59" s="500">
        <v>1</v>
      </c>
      <c r="F59" s="496" t="s">
        <v>544</v>
      </c>
      <c r="G59" s="500">
        <v>4.4</v>
      </c>
      <c r="H59" s="498">
        <f t="shared" si="19"/>
        <v>291016</v>
      </c>
      <c r="I59" s="502"/>
      <c r="J59" s="508">
        <f>H59*0.05</f>
        <v>14550.800000000001</v>
      </c>
      <c r="K59" s="570">
        <f t="shared" si="23"/>
        <v>305566.8</v>
      </c>
      <c r="L59" s="500">
        <v>1</v>
      </c>
      <c r="M59" s="496" t="s">
        <v>545</v>
      </c>
      <c r="N59" s="500">
        <v>4.27</v>
      </c>
      <c r="O59" s="498">
        <f t="shared" si="20"/>
        <v>282417.8</v>
      </c>
      <c r="P59" s="502"/>
      <c r="Q59" s="508">
        <f>O59*0.05</f>
        <v>14120.89</v>
      </c>
      <c r="R59" s="570">
        <f t="shared" si="24"/>
        <v>296538.69</v>
      </c>
      <c r="S59" s="570">
        <f t="shared" si="2"/>
        <v>0</v>
      </c>
      <c r="T59" s="570">
        <f t="shared" si="3"/>
        <v>8598.200000000012</v>
      </c>
      <c r="U59" s="570">
        <f t="shared" si="3"/>
        <v>0</v>
      </c>
      <c r="V59" s="570">
        <f t="shared" si="3"/>
        <v>429.9100000000017</v>
      </c>
      <c r="W59" s="570">
        <f t="shared" si="4"/>
        <v>9028.110000000013</v>
      </c>
      <c r="X59" s="500">
        <v>1</v>
      </c>
      <c r="Y59" s="496" t="s">
        <v>546</v>
      </c>
      <c r="Z59" s="500">
        <v>4.4</v>
      </c>
      <c r="AA59" s="498">
        <f t="shared" si="21"/>
        <v>291016</v>
      </c>
      <c r="AB59" s="502"/>
      <c r="AC59" s="508">
        <f>AA59*0.05</f>
        <v>14550.800000000001</v>
      </c>
      <c r="AD59" s="570">
        <f t="shared" si="25"/>
        <v>305566.8</v>
      </c>
      <c r="AE59" s="500">
        <v>1</v>
      </c>
      <c r="AF59" s="496" t="s">
        <v>546</v>
      </c>
      <c r="AG59" s="500">
        <v>4.4</v>
      </c>
      <c r="AH59" s="498">
        <f t="shared" si="22"/>
        <v>291016</v>
      </c>
      <c r="AI59" s="502"/>
      <c r="AJ59" s="508">
        <f t="shared" si="26"/>
        <v>14550.800000000001</v>
      </c>
      <c r="AK59" s="570">
        <f t="shared" si="27"/>
        <v>305566.8</v>
      </c>
      <c r="AL59" s="510"/>
    </row>
    <row r="60" spans="1:38" ht="21" customHeight="1">
      <c r="A60" s="496">
        <v>4</v>
      </c>
      <c r="B60" s="585" t="s">
        <v>547</v>
      </c>
      <c r="C60" s="513" t="s">
        <v>542</v>
      </c>
      <c r="D60" s="520" t="s">
        <v>548</v>
      </c>
      <c r="E60" s="500">
        <v>1</v>
      </c>
      <c r="F60" s="509" t="s">
        <v>469</v>
      </c>
      <c r="G60" s="500">
        <v>4.4</v>
      </c>
      <c r="H60" s="498">
        <f t="shared" si="19"/>
        <v>291016</v>
      </c>
      <c r="I60" s="502"/>
      <c r="J60" s="508"/>
      <c r="K60" s="570">
        <f t="shared" si="23"/>
        <v>291016</v>
      </c>
      <c r="L60" s="500">
        <v>1</v>
      </c>
      <c r="M60" s="509" t="s">
        <v>549</v>
      </c>
      <c r="N60" s="500">
        <v>4.4</v>
      </c>
      <c r="O60" s="498">
        <f t="shared" si="20"/>
        <v>291016</v>
      </c>
      <c r="P60" s="502"/>
      <c r="Q60" s="508"/>
      <c r="R60" s="570">
        <f t="shared" si="24"/>
        <v>291016</v>
      </c>
      <c r="S60" s="570">
        <f t="shared" si="2"/>
        <v>0</v>
      </c>
      <c r="T60" s="570">
        <f t="shared" si="3"/>
        <v>0</v>
      </c>
      <c r="U60" s="570">
        <f t="shared" si="3"/>
        <v>0</v>
      </c>
      <c r="V60" s="570">
        <f t="shared" si="3"/>
        <v>0</v>
      </c>
      <c r="W60" s="570">
        <f t="shared" si="4"/>
        <v>0</v>
      </c>
      <c r="X60" s="500">
        <v>1</v>
      </c>
      <c r="Y60" s="509" t="s">
        <v>470</v>
      </c>
      <c r="Z60" s="500">
        <v>4.4</v>
      </c>
      <c r="AA60" s="498">
        <f t="shared" si="21"/>
        <v>291016</v>
      </c>
      <c r="AB60" s="502"/>
      <c r="AC60" s="508"/>
      <c r="AD60" s="570">
        <f t="shared" si="25"/>
        <v>291016</v>
      </c>
      <c r="AE60" s="500">
        <v>1</v>
      </c>
      <c r="AF60" s="509" t="s">
        <v>550</v>
      </c>
      <c r="AG60" s="500">
        <v>4.4</v>
      </c>
      <c r="AH60" s="498">
        <f t="shared" si="22"/>
        <v>291016</v>
      </c>
      <c r="AI60" s="502"/>
      <c r="AJ60" s="508"/>
      <c r="AK60" s="570">
        <f t="shared" si="27"/>
        <v>291016</v>
      </c>
      <c r="AL60" s="510"/>
    </row>
    <row r="61" spans="1:38" ht="21" customHeight="1">
      <c r="A61" s="496">
        <v>5</v>
      </c>
      <c r="B61" s="585" t="s">
        <v>551</v>
      </c>
      <c r="C61" s="513" t="s">
        <v>552</v>
      </c>
      <c r="D61" s="520" t="s">
        <v>553</v>
      </c>
      <c r="E61" s="500">
        <v>1</v>
      </c>
      <c r="F61" s="496" t="s">
        <v>554</v>
      </c>
      <c r="G61" s="500">
        <v>3.01</v>
      </c>
      <c r="H61" s="498">
        <f t="shared" si="19"/>
        <v>199081.4</v>
      </c>
      <c r="I61" s="502"/>
      <c r="J61" s="508">
        <f>H61*0.05</f>
        <v>9954.07</v>
      </c>
      <c r="K61" s="570">
        <f t="shared" si="23"/>
        <v>209035.47</v>
      </c>
      <c r="L61" s="500">
        <v>1</v>
      </c>
      <c r="M61" s="496" t="s">
        <v>555</v>
      </c>
      <c r="N61" s="500">
        <v>3.01</v>
      </c>
      <c r="O61" s="498">
        <f t="shared" si="20"/>
        <v>199081.4</v>
      </c>
      <c r="P61" s="502"/>
      <c r="Q61" s="508">
        <f>O61*0.05</f>
        <v>9954.07</v>
      </c>
      <c r="R61" s="570">
        <f t="shared" si="24"/>
        <v>209035.47</v>
      </c>
      <c r="S61" s="570">
        <f t="shared" si="2"/>
        <v>0</v>
      </c>
      <c r="T61" s="570">
        <f t="shared" si="3"/>
        <v>0</v>
      </c>
      <c r="U61" s="570">
        <f t="shared" si="3"/>
        <v>0</v>
      </c>
      <c r="V61" s="570">
        <f t="shared" si="3"/>
        <v>0</v>
      </c>
      <c r="W61" s="570">
        <f t="shared" si="4"/>
        <v>0</v>
      </c>
      <c r="X61" s="500">
        <v>1</v>
      </c>
      <c r="Y61" s="496" t="s">
        <v>556</v>
      </c>
      <c r="Z61" s="500">
        <v>3.11</v>
      </c>
      <c r="AA61" s="498">
        <f t="shared" si="21"/>
        <v>205695.4</v>
      </c>
      <c r="AB61" s="502"/>
      <c r="AC61" s="508">
        <f>AA61*0.05</f>
        <v>10284.77</v>
      </c>
      <c r="AD61" s="570">
        <f t="shared" si="25"/>
        <v>215980.16999999998</v>
      </c>
      <c r="AE61" s="500">
        <v>1</v>
      </c>
      <c r="AF61" s="496" t="s">
        <v>557</v>
      </c>
      <c r="AG61" s="500">
        <v>3.11</v>
      </c>
      <c r="AH61" s="498">
        <f t="shared" si="22"/>
        <v>205695.4</v>
      </c>
      <c r="AI61" s="502"/>
      <c r="AJ61" s="508">
        <f t="shared" si="26"/>
        <v>10284.77</v>
      </c>
      <c r="AK61" s="570">
        <f t="shared" si="27"/>
        <v>215980.16999999998</v>
      </c>
      <c r="AL61" s="510"/>
    </row>
    <row r="62" spans="1:38" ht="21" customHeight="1">
      <c r="A62" s="496">
        <v>6</v>
      </c>
      <c r="B62" s="585" t="s">
        <v>558</v>
      </c>
      <c r="C62" s="513" t="s">
        <v>559</v>
      </c>
      <c r="D62" s="520" t="s">
        <v>560</v>
      </c>
      <c r="E62" s="500">
        <v>1</v>
      </c>
      <c r="F62" s="496" t="s">
        <v>561</v>
      </c>
      <c r="G62" s="500">
        <v>2.83</v>
      </c>
      <c r="H62" s="498">
        <f t="shared" si="19"/>
        <v>187176.2</v>
      </c>
      <c r="I62" s="502"/>
      <c r="J62" s="508">
        <f>H62*0.05</f>
        <v>9358.810000000001</v>
      </c>
      <c r="K62" s="570">
        <f t="shared" si="23"/>
        <v>196535.01</v>
      </c>
      <c r="L62" s="500">
        <v>1</v>
      </c>
      <c r="M62" s="496" t="s">
        <v>562</v>
      </c>
      <c r="N62" s="500">
        <v>2.75</v>
      </c>
      <c r="O62" s="498">
        <f t="shared" si="20"/>
        <v>181885</v>
      </c>
      <c r="P62" s="502"/>
      <c r="Q62" s="508">
        <f>O62*0.05</f>
        <v>9094.25</v>
      </c>
      <c r="R62" s="570">
        <f t="shared" si="24"/>
        <v>190979.25</v>
      </c>
      <c r="S62" s="570">
        <f t="shared" si="2"/>
        <v>0</v>
      </c>
      <c r="T62" s="570">
        <f t="shared" si="3"/>
        <v>5291.200000000012</v>
      </c>
      <c r="U62" s="570">
        <f t="shared" si="3"/>
        <v>0</v>
      </c>
      <c r="V62" s="570">
        <f t="shared" si="3"/>
        <v>264.5600000000013</v>
      </c>
      <c r="W62" s="570">
        <f t="shared" si="4"/>
        <v>5555.760000000013</v>
      </c>
      <c r="X62" s="500">
        <v>1</v>
      </c>
      <c r="Y62" s="496" t="s">
        <v>563</v>
      </c>
      <c r="Z62" s="500">
        <v>2.83</v>
      </c>
      <c r="AA62" s="498">
        <f t="shared" si="21"/>
        <v>187176.2</v>
      </c>
      <c r="AB62" s="502"/>
      <c r="AC62" s="508">
        <f>AA62*0.05</f>
        <v>9358.810000000001</v>
      </c>
      <c r="AD62" s="570">
        <f t="shared" si="25"/>
        <v>196535.01</v>
      </c>
      <c r="AE62" s="500">
        <v>1</v>
      </c>
      <c r="AF62" s="496" t="s">
        <v>564</v>
      </c>
      <c r="AG62" s="500">
        <v>2.83</v>
      </c>
      <c r="AH62" s="498">
        <f t="shared" si="22"/>
        <v>187176.2</v>
      </c>
      <c r="AI62" s="502"/>
      <c r="AJ62" s="508">
        <f t="shared" si="26"/>
        <v>9358.810000000001</v>
      </c>
      <c r="AK62" s="570">
        <f t="shared" si="27"/>
        <v>196535.01</v>
      </c>
      <c r="AL62" s="510"/>
    </row>
    <row r="63" spans="1:38" ht="21" customHeight="1">
      <c r="A63" s="496">
        <v>7</v>
      </c>
      <c r="B63" s="585" t="s">
        <v>565</v>
      </c>
      <c r="C63" s="513" t="s">
        <v>566</v>
      </c>
      <c r="D63" s="520" t="s">
        <v>567</v>
      </c>
      <c r="E63" s="500">
        <v>1</v>
      </c>
      <c r="F63" s="509" t="s">
        <v>568</v>
      </c>
      <c r="G63" s="500">
        <v>2.08</v>
      </c>
      <c r="H63" s="498">
        <f t="shared" si="19"/>
        <v>137571.2</v>
      </c>
      <c r="I63" s="502"/>
      <c r="J63" s="508">
        <f>H63*0.05</f>
        <v>6878.560000000001</v>
      </c>
      <c r="K63" s="570">
        <f t="shared" si="23"/>
        <v>144449.76</v>
      </c>
      <c r="L63" s="500">
        <v>1</v>
      </c>
      <c r="M63" s="509" t="s">
        <v>569</v>
      </c>
      <c r="N63" s="500">
        <v>2.08</v>
      </c>
      <c r="O63" s="498">
        <f t="shared" si="20"/>
        <v>137571.2</v>
      </c>
      <c r="P63" s="502"/>
      <c r="Q63" s="508"/>
      <c r="R63" s="570">
        <f t="shared" si="24"/>
        <v>137571.2</v>
      </c>
      <c r="S63" s="570">
        <f t="shared" si="2"/>
        <v>0</v>
      </c>
      <c r="T63" s="570">
        <f t="shared" si="3"/>
        <v>0</v>
      </c>
      <c r="U63" s="570">
        <f t="shared" si="3"/>
        <v>0</v>
      </c>
      <c r="V63" s="570">
        <f t="shared" si="3"/>
        <v>6878.560000000001</v>
      </c>
      <c r="W63" s="570">
        <f t="shared" si="4"/>
        <v>6878.560000000001</v>
      </c>
      <c r="X63" s="500">
        <v>1</v>
      </c>
      <c r="Y63" s="509" t="s">
        <v>570</v>
      </c>
      <c r="Z63" s="500">
        <v>2.15</v>
      </c>
      <c r="AA63" s="498">
        <f t="shared" si="21"/>
        <v>142201</v>
      </c>
      <c r="AB63" s="502"/>
      <c r="AC63" s="508">
        <f>AA63*0.05</f>
        <v>7110.05</v>
      </c>
      <c r="AD63" s="570">
        <f t="shared" si="25"/>
        <v>149311.05</v>
      </c>
      <c r="AE63" s="500">
        <v>1</v>
      </c>
      <c r="AF63" s="509" t="s">
        <v>571</v>
      </c>
      <c r="AG63" s="500">
        <v>2.21</v>
      </c>
      <c r="AH63" s="498">
        <f t="shared" si="22"/>
        <v>146169.4</v>
      </c>
      <c r="AI63" s="502"/>
      <c r="AJ63" s="508">
        <f t="shared" si="26"/>
        <v>7308.47</v>
      </c>
      <c r="AK63" s="570">
        <f t="shared" si="27"/>
        <v>153477.87</v>
      </c>
      <c r="AL63" s="510"/>
    </row>
    <row r="64" spans="1:38" ht="21" customHeight="1">
      <c r="A64" s="496"/>
      <c r="B64" s="583" t="s">
        <v>181</v>
      </c>
      <c r="C64" s="502" t="s">
        <v>1</v>
      </c>
      <c r="D64" s="521" t="s">
        <v>1</v>
      </c>
      <c r="E64" s="500">
        <f>SUM(E57:E63)</f>
        <v>7</v>
      </c>
      <c r="F64" s="502" t="s">
        <v>1</v>
      </c>
      <c r="G64" s="500"/>
      <c r="H64" s="500">
        <f>SUM(H57:H63)</f>
        <v>1713025.9999999998</v>
      </c>
      <c r="I64" s="500">
        <f>SUM(I57:I63)</f>
        <v>0</v>
      </c>
      <c r="J64" s="500">
        <f>SUM(J57:J63)</f>
        <v>57839.42999999999</v>
      </c>
      <c r="K64" s="500">
        <f>SUM(K57:K63)</f>
        <v>1770865.43</v>
      </c>
      <c r="L64" s="500">
        <f>SUM(L57:L63)</f>
        <v>7</v>
      </c>
      <c r="M64" s="502" t="s">
        <v>1</v>
      </c>
      <c r="N64" s="500"/>
      <c r="O64" s="500">
        <f>SUM(O57:O63)</f>
        <v>1690538.4</v>
      </c>
      <c r="P64" s="500">
        <f aca="true" t="shared" si="28" ref="P64:W64">SUM(P57:P63)</f>
        <v>0</v>
      </c>
      <c r="Q64" s="500">
        <f t="shared" si="28"/>
        <v>50266.399999999994</v>
      </c>
      <c r="R64" s="500">
        <f t="shared" si="28"/>
        <v>1740804.7999999998</v>
      </c>
      <c r="S64" s="500">
        <f t="shared" si="28"/>
        <v>0</v>
      </c>
      <c r="T64" s="500">
        <f t="shared" si="28"/>
        <v>22487.600000000006</v>
      </c>
      <c r="U64" s="500">
        <f t="shared" si="28"/>
        <v>0</v>
      </c>
      <c r="V64" s="500">
        <f t="shared" si="28"/>
        <v>7573.030000000004</v>
      </c>
      <c r="W64" s="500">
        <f t="shared" si="28"/>
        <v>30060.630000000012</v>
      </c>
      <c r="X64" s="500">
        <f>SUM(X57:X63)</f>
        <v>7</v>
      </c>
      <c r="Y64" s="502" t="s">
        <v>1</v>
      </c>
      <c r="Z64" s="500"/>
      <c r="AA64" s="500">
        <f>SUM(AA57:AA63)</f>
        <v>1732867.9999999998</v>
      </c>
      <c r="AB64" s="500">
        <f>SUM(AB57:AB63)</f>
        <v>0</v>
      </c>
      <c r="AC64" s="500">
        <f>SUM(AC57:AC63)</f>
        <v>58401.619999999995</v>
      </c>
      <c r="AD64" s="500">
        <f>SUM(AD57:AD63)</f>
        <v>1791269.6199999999</v>
      </c>
      <c r="AE64" s="500">
        <f>SUM(AE57:AE63)</f>
        <v>7</v>
      </c>
      <c r="AF64" s="502" t="s">
        <v>1</v>
      </c>
      <c r="AG64" s="500"/>
      <c r="AH64" s="500">
        <f>SUM(AH57:AH63)</f>
        <v>1745434.5999999999</v>
      </c>
      <c r="AI64" s="500">
        <f>SUM(AI57:AI63)</f>
        <v>0</v>
      </c>
      <c r="AJ64" s="500">
        <f>SUM(AJ57:AJ63)</f>
        <v>58600.03999999999</v>
      </c>
      <c r="AK64" s="500">
        <f>SUM(AK57:AK63)</f>
        <v>1804034.6400000001</v>
      </c>
      <c r="AL64" s="510"/>
    </row>
    <row r="65" spans="1:38" ht="28.5" customHeight="1">
      <c r="A65" s="496"/>
      <c r="B65" s="501" t="s">
        <v>572</v>
      </c>
      <c r="C65" s="502"/>
      <c r="D65" s="521"/>
      <c r="E65" s="500"/>
      <c r="F65" s="502"/>
      <c r="G65" s="500"/>
      <c r="H65" s="508"/>
      <c r="I65" s="508"/>
      <c r="J65" s="508"/>
      <c r="K65" s="508"/>
      <c r="L65" s="500"/>
      <c r="M65" s="502"/>
      <c r="N65" s="500"/>
      <c r="O65" s="508"/>
      <c r="P65" s="508"/>
      <c r="Q65" s="508"/>
      <c r="R65" s="508"/>
      <c r="S65" s="570"/>
      <c r="T65" s="570"/>
      <c r="U65" s="570"/>
      <c r="V65" s="570"/>
      <c r="W65" s="570"/>
      <c r="X65" s="500"/>
      <c r="Y65" s="502"/>
      <c r="Z65" s="500"/>
      <c r="AA65" s="508"/>
      <c r="AB65" s="508"/>
      <c r="AC65" s="508"/>
      <c r="AD65" s="508"/>
      <c r="AE65" s="500"/>
      <c r="AF65" s="502"/>
      <c r="AG65" s="500"/>
      <c r="AH65" s="508"/>
      <c r="AI65" s="508"/>
      <c r="AJ65" s="508"/>
      <c r="AK65" s="508"/>
      <c r="AL65" s="510"/>
    </row>
    <row r="66" spans="1:38" ht="21" customHeight="1">
      <c r="A66" s="496">
        <v>1</v>
      </c>
      <c r="B66" s="500" t="s">
        <v>573</v>
      </c>
      <c r="C66" s="513" t="s">
        <v>574</v>
      </c>
      <c r="D66" s="520" t="s">
        <v>575</v>
      </c>
      <c r="E66" s="500">
        <v>1</v>
      </c>
      <c r="F66" s="509" t="s">
        <v>454</v>
      </c>
      <c r="G66" s="500">
        <v>4.7</v>
      </c>
      <c r="H66" s="498">
        <f>G66*66140</f>
        <v>310858</v>
      </c>
      <c r="I66" s="502"/>
      <c r="J66" s="508"/>
      <c r="K66" s="570">
        <f>H66+I66+J66</f>
        <v>310858</v>
      </c>
      <c r="L66" s="500">
        <v>1</v>
      </c>
      <c r="M66" s="509" t="s">
        <v>455</v>
      </c>
      <c r="N66" s="500">
        <v>4.7</v>
      </c>
      <c r="O66" s="498">
        <f>N66*66140</f>
        <v>310858</v>
      </c>
      <c r="P66" s="502"/>
      <c r="Q66" s="508"/>
      <c r="R66" s="570">
        <f>O66+P66+Q66</f>
        <v>310858</v>
      </c>
      <c r="S66" s="570">
        <f t="shared" si="2"/>
        <v>0</v>
      </c>
      <c r="T66" s="570">
        <f t="shared" si="3"/>
        <v>0</v>
      </c>
      <c r="U66" s="570">
        <f t="shared" si="3"/>
        <v>0</v>
      </c>
      <c r="V66" s="570">
        <f t="shared" si="3"/>
        <v>0</v>
      </c>
      <c r="W66" s="570">
        <f t="shared" si="4"/>
        <v>0</v>
      </c>
      <c r="X66" s="500">
        <v>1</v>
      </c>
      <c r="Y66" s="509" t="s">
        <v>456</v>
      </c>
      <c r="Z66" s="500">
        <v>4.7</v>
      </c>
      <c r="AA66" s="498">
        <f>Z66*66140</f>
        <v>310858</v>
      </c>
      <c r="AB66" s="502"/>
      <c r="AC66" s="508"/>
      <c r="AD66" s="570">
        <f>AA66+AB66+AC66</f>
        <v>310858</v>
      </c>
      <c r="AE66" s="500">
        <v>1</v>
      </c>
      <c r="AF66" s="509" t="s">
        <v>576</v>
      </c>
      <c r="AG66" s="500">
        <v>4.7</v>
      </c>
      <c r="AH66" s="498">
        <f>AG66*66140</f>
        <v>310858</v>
      </c>
      <c r="AI66" s="502"/>
      <c r="AJ66" s="508"/>
      <c r="AK66" s="570">
        <f>AH66+AI66+AJ66</f>
        <v>310858</v>
      </c>
      <c r="AL66" s="510"/>
    </row>
    <row r="67" spans="1:38" ht="21" customHeight="1">
      <c r="A67" s="496">
        <v>2</v>
      </c>
      <c r="B67" s="585" t="s">
        <v>577</v>
      </c>
      <c r="C67" s="513" t="s">
        <v>578</v>
      </c>
      <c r="D67" s="520" t="s">
        <v>579</v>
      </c>
      <c r="E67" s="500">
        <v>1</v>
      </c>
      <c r="F67" s="509" t="s">
        <v>454</v>
      </c>
      <c r="G67" s="500">
        <v>4.41</v>
      </c>
      <c r="H67" s="498">
        <f>G67*66140</f>
        <v>291677.4</v>
      </c>
      <c r="I67" s="502"/>
      <c r="J67" s="508">
        <f>H67*0.05</f>
        <v>14583.870000000003</v>
      </c>
      <c r="K67" s="570">
        <f>H67+I67+J67</f>
        <v>306261.27</v>
      </c>
      <c r="L67" s="500">
        <v>1</v>
      </c>
      <c r="M67" s="509" t="s">
        <v>455</v>
      </c>
      <c r="N67" s="500">
        <v>4.41</v>
      </c>
      <c r="O67" s="498">
        <f>N67*66140</f>
        <v>291677.4</v>
      </c>
      <c r="P67" s="502"/>
      <c r="Q67" s="508"/>
      <c r="R67" s="570">
        <f>O67+P67+Q67</f>
        <v>291677.4</v>
      </c>
      <c r="S67" s="570">
        <f t="shared" si="2"/>
        <v>0</v>
      </c>
      <c r="T67" s="570">
        <f t="shared" si="3"/>
        <v>0</v>
      </c>
      <c r="U67" s="570">
        <f t="shared" si="3"/>
        <v>0</v>
      </c>
      <c r="V67" s="570">
        <f t="shared" si="3"/>
        <v>14583.870000000003</v>
      </c>
      <c r="W67" s="570">
        <f t="shared" si="4"/>
        <v>14583.870000000003</v>
      </c>
      <c r="X67" s="500">
        <v>1</v>
      </c>
      <c r="Y67" s="509" t="s">
        <v>456</v>
      </c>
      <c r="Z67" s="500">
        <v>4.41</v>
      </c>
      <c r="AA67" s="498">
        <f>Z67*66140</f>
        <v>291677.4</v>
      </c>
      <c r="AB67" s="502"/>
      <c r="AC67" s="508">
        <f>AA67*0.05</f>
        <v>14583.870000000003</v>
      </c>
      <c r="AD67" s="570">
        <f>AA67+AB67+AC67</f>
        <v>306261.27</v>
      </c>
      <c r="AE67" s="500">
        <v>1</v>
      </c>
      <c r="AF67" s="509" t="s">
        <v>457</v>
      </c>
      <c r="AG67" s="500">
        <v>4.41</v>
      </c>
      <c r="AH67" s="498">
        <f>AG67*66140</f>
        <v>291677.4</v>
      </c>
      <c r="AI67" s="502"/>
      <c r="AJ67" s="508">
        <f>AH67*0.05</f>
        <v>14583.870000000003</v>
      </c>
      <c r="AK67" s="570">
        <f>AH67+AI67+AJ67</f>
        <v>306261.27</v>
      </c>
      <c r="AL67" s="510"/>
    </row>
    <row r="68" spans="1:38" ht="21" customHeight="1">
      <c r="A68" s="496">
        <v>3</v>
      </c>
      <c r="B68" s="585" t="s">
        <v>580</v>
      </c>
      <c r="C68" s="513" t="s">
        <v>581</v>
      </c>
      <c r="D68" s="520" t="s">
        <v>582</v>
      </c>
      <c r="E68" s="500">
        <v>1</v>
      </c>
      <c r="F68" s="496" t="s">
        <v>583</v>
      </c>
      <c r="G68" s="500">
        <v>3.76</v>
      </c>
      <c r="H68" s="498">
        <f>G68*66140</f>
        <v>248686.4</v>
      </c>
      <c r="I68" s="502"/>
      <c r="J68" s="508">
        <f>H68*0.05</f>
        <v>12434.32</v>
      </c>
      <c r="K68" s="570">
        <f>H68+I68+J68</f>
        <v>261120.72</v>
      </c>
      <c r="L68" s="500">
        <v>1</v>
      </c>
      <c r="M68" s="496" t="s">
        <v>584</v>
      </c>
      <c r="N68" s="500">
        <v>3.76</v>
      </c>
      <c r="O68" s="498">
        <f>N68*66140</f>
        <v>248686.4</v>
      </c>
      <c r="P68" s="502"/>
      <c r="Q68" s="508"/>
      <c r="R68" s="570">
        <f>O68+P68+Q68</f>
        <v>248686.4</v>
      </c>
      <c r="S68" s="570">
        <f t="shared" si="2"/>
        <v>0</v>
      </c>
      <c r="T68" s="570">
        <f t="shared" si="3"/>
        <v>0</v>
      </c>
      <c r="U68" s="570">
        <f t="shared" si="3"/>
        <v>0</v>
      </c>
      <c r="V68" s="570">
        <f t="shared" si="3"/>
        <v>12434.32</v>
      </c>
      <c r="W68" s="570">
        <f t="shared" si="4"/>
        <v>12434.32</v>
      </c>
      <c r="X68" s="500">
        <v>1</v>
      </c>
      <c r="Y68" s="496" t="s">
        <v>585</v>
      </c>
      <c r="Z68" s="500">
        <v>3.88</v>
      </c>
      <c r="AA68" s="498">
        <f>Z68*66140</f>
        <v>256623.19999999998</v>
      </c>
      <c r="AB68" s="502"/>
      <c r="AC68" s="508">
        <f>AA68*0.05</f>
        <v>12831.16</v>
      </c>
      <c r="AD68" s="570">
        <f>AA68+AB68+AC68</f>
        <v>269454.36</v>
      </c>
      <c r="AE68" s="500">
        <v>1</v>
      </c>
      <c r="AF68" s="496" t="s">
        <v>586</v>
      </c>
      <c r="AG68" s="500">
        <v>3.88</v>
      </c>
      <c r="AH68" s="498">
        <f>AG68*66140</f>
        <v>256623.19999999998</v>
      </c>
      <c r="AI68" s="502"/>
      <c r="AJ68" s="508">
        <f>AH68*0.05</f>
        <v>12831.16</v>
      </c>
      <c r="AK68" s="570">
        <f>AH68+AI68+AJ68</f>
        <v>269454.36</v>
      </c>
      <c r="AL68" s="510"/>
    </row>
    <row r="69" spans="1:38" ht="21" customHeight="1">
      <c r="A69" s="496">
        <v>4</v>
      </c>
      <c r="B69" s="585" t="s">
        <v>587</v>
      </c>
      <c r="C69" s="513" t="s">
        <v>588</v>
      </c>
      <c r="D69" s="520" t="s">
        <v>589</v>
      </c>
      <c r="E69" s="500">
        <v>1</v>
      </c>
      <c r="F69" s="496" t="s">
        <v>590</v>
      </c>
      <c r="G69" s="500">
        <v>2.66</v>
      </c>
      <c r="H69" s="498">
        <f>G69*66140</f>
        <v>175932.40000000002</v>
      </c>
      <c r="I69" s="502"/>
      <c r="J69" s="508">
        <f>H69*0.05</f>
        <v>8796.62</v>
      </c>
      <c r="K69" s="570">
        <f>H69+I69+J69</f>
        <v>184729.02000000002</v>
      </c>
      <c r="L69" s="500">
        <v>1</v>
      </c>
      <c r="M69" s="496" t="s">
        <v>591</v>
      </c>
      <c r="N69" s="500">
        <v>2.58</v>
      </c>
      <c r="O69" s="498">
        <f>N69*66140</f>
        <v>170641.2</v>
      </c>
      <c r="P69" s="502"/>
      <c r="Q69" s="508"/>
      <c r="R69" s="570">
        <f>O69+P69+Q69</f>
        <v>170641.2</v>
      </c>
      <c r="S69" s="570">
        <f t="shared" si="2"/>
        <v>0</v>
      </c>
      <c r="T69" s="570">
        <f t="shared" si="3"/>
        <v>5291.200000000012</v>
      </c>
      <c r="U69" s="570">
        <f t="shared" si="3"/>
        <v>0</v>
      </c>
      <c r="V69" s="570">
        <f t="shared" si="3"/>
        <v>8796.62</v>
      </c>
      <c r="W69" s="570">
        <f t="shared" si="4"/>
        <v>14087.820000000012</v>
      </c>
      <c r="X69" s="500">
        <v>1</v>
      </c>
      <c r="Y69" s="496" t="s">
        <v>592</v>
      </c>
      <c r="Z69" s="500">
        <v>2.66</v>
      </c>
      <c r="AA69" s="498">
        <f>Z69*66140</f>
        <v>175932.40000000002</v>
      </c>
      <c r="AB69" s="502"/>
      <c r="AC69" s="508">
        <f>AA69*0.05</f>
        <v>8796.62</v>
      </c>
      <c r="AD69" s="570">
        <f>AA69+AB69+AC69</f>
        <v>184729.02000000002</v>
      </c>
      <c r="AE69" s="500">
        <v>1</v>
      </c>
      <c r="AF69" s="496" t="s">
        <v>593</v>
      </c>
      <c r="AG69" s="500">
        <v>2.75</v>
      </c>
      <c r="AH69" s="498">
        <f>AG69*66140</f>
        <v>181885</v>
      </c>
      <c r="AI69" s="502"/>
      <c r="AJ69" s="508">
        <f>AH69*0.05</f>
        <v>9094.25</v>
      </c>
      <c r="AK69" s="570">
        <f>AH69+AI69+AJ69</f>
        <v>190979.25</v>
      </c>
      <c r="AL69" s="510"/>
    </row>
    <row r="70" spans="1:38" ht="21" customHeight="1">
      <c r="A70" s="496"/>
      <c r="B70" s="583" t="s">
        <v>181</v>
      </c>
      <c r="C70" s="502" t="s">
        <v>1</v>
      </c>
      <c r="D70" s="521" t="s">
        <v>1</v>
      </c>
      <c r="E70" s="500">
        <f>SUM(E66:E69)</f>
        <v>4</v>
      </c>
      <c r="F70" s="502" t="s">
        <v>1</v>
      </c>
      <c r="G70" s="500"/>
      <c r="H70" s="500">
        <f>SUM(H66:H69)</f>
        <v>1027154.2000000001</v>
      </c>
      <c r="I70" s="500">
        <f>SUM(I66:I69)</f>
        <v>0</v>
      </c>
      <c r="J70" s="500">
        <f>SUM(J66:J69)</f>
        <v>35814.810000000005</v>
      </c>
      <c r="K70" s="500">
        <f>SUM(K66:K69)</f>
        <v>1062969.01</v>
      </c>
      <c r="L70" s="500">
        <f>SUM(L66:L69)</f>
        <v>4</v>
      </c>
      <c r="M70" s="502" t="s">
        <v>1</v>
      </c>
      <c r="N70" s="500"/>
      <c r="O70" s="500">
        <f>SUM(O66:O69)</f>
        <v>1021863</v>
      </c>
      <c r="P70" s="500">
        <f aca="true" t="shared" si="29" ref="P70:W70">SUM(P66:P69)</f>
        <v>0</v>
      </c>
      <c r="Q70" s="500">
        <f t="shared" si="29"/>
        <v>0</v>
      </c>
      <c r="R70" s="500">
        <f t="shared" si="29"/>
        <v>1021863</v>
      </c>
      <c r="S70" s="500">
        <f t="shared" si="29"/>
        <v>0</v>
      </c>
      <c r="T70" s="500">
        <f t="shared" si="29"/>
        <v>5291.200000000012</v>
      </c>
      <c r="U70" s="500">
        <f t="shared" si="29"/>
        <v>0</v>
      </c>
      <c r="V70" s="500">
        <f t="shared" si="29"/>
        <v>35814.810000000005</v>
      </c>
      <c r="W70" s="500">
        <f t="shared" si="29"/>
        <v>41106.01000000002</v>
      </c>
      <c r="X70" s="500">
        <f>SUM(X66:X69)</f>
        <v>4</v>
      </c>
      <c r="Y70" s="502" t="s">
        <v>1</v>
      </c>
      <c r="Z70" s="500"/>
      <c r="AA70" s="500">
        <f>SUM(AA66:AA69)</f>
        <v>1035091</v>
      </c>
      <c r="AB70" s="500">
        <f>SUM(AB66:AB69)</f>
        <v>0</v>
      </c>
      <c r="AC70" s="500">
        <f>SUM(AC66:AC69)</f>
        <v>36211.65</v>
      </c>
      <c r="AD70" s="500">
        <f>SUM(AD66:AD69)</f>
        <v>1071302.65</v>
      </c>
      <c r="AE70" s="500">
        <f>SUM(AE66:AE69)</f>
        <v>4</v>
      </c>
      <c r="AF70" s="502" t="s">
        <v>1</v>
      </c>
      <c r="AG70" s="500"/>
      <c r="AH70" s="500">
        <f>SUM(AH66:AH69)</f>
        <v>1041043.6</v>
      </c>
      <c r="AI70" s="500">
        <f>SUM(AI66:AI69)</f>
        <v>0</v>
      </c>
      <c r="AJ70" s="500">
        <f>SUM(AJ66:AJ69)</f>
        <v>36509.28</v>
      </c>
      <c r="AK70" s="500">
        <f>SUM(AK66:AK69)</f>
        <v>1077552.88</v>
      </c>
      <c r="AL70" s="510"/>
    </row>
    <row r="71" spans="1:38" ht="30" customHeight="1">
      <c r="A71" s="496"/>
      <c r="B71" s="501" t="s">
        <v>594</v>
      </c>
      <c r="C71" s="502"/>
      <c r="D71" s="521"/>
      <c r="E71" s="500"/>
      <c r="F71" s="502"/>
      <c r="G71" s="500"/>
      <c r="H71" s="508"/>
      <c r="I71" s="508"/>
      <c r="J71" s="508"/>
      <c r="K71" s="508"/>
      <c r="L71" s="500"/>
      <c r="M71" s="502"/>
      <c r="N71" s="500"/>
      <c r="O71" s="508"/>
      <c r="P71" s="508"/>
      <c r="Q71" s="508"/>
      <c r="R71" s="508"/>
      <c r="S71" s="570"/>
      <c r="T71" s="570"/>
      <c r="U71" s="570"/>
      <c r="V71" s="570"/>
      <c r="W71" s="570"/>
      <c r="X71" s="500"/>
      <c r="Y71" s="502"/>
      <c r="Z71" s="500"/>
      <c r="AA71" s="508"/>
      <c r="AB71" s="508"/>
      <c r="AC71" s="508"/>
      <c r="AD71" s="508"/>
      <c r="AE71" s="500"/>
      <c r="AF71" s="502"/>
      <c r="AG71" s="500"/>
      <c r="AH71" s="508"/>
      <c r="AI71" s="508"/>
      <c r="AJ71" s="508"/>
      <c r="AK71" s="508"/>
      <c r="AL71" s="510"/>
    </row>
    <row r="72" spans="1:38" ht="21" customHeight="1">
      <c r="A72" s="496">
        <v>1</v>
      </c>
      <c r="B72" s="500" t="s">
        <v>595</v>
      </c>
      <c r="C72" s="513" t="s">
        <v>596</v>
      </c>
      <c r="D72" s="520" t="s">
        <v>597</v>
      </c>
      <c r="E72" s="500">
        <v>1</v>
      </c>
      <c r="F72" s="509" t="s">
        <v>454</v>
      </c>
      <c r="G72" s="500">
        <v>4.85</v>
      </c>
      <c r="H72" s="498">
        <f>G72*66140</f>
        <v>320779</v>
      </c>
      <c r="I72" s="502"/>
      <c r="J72" s="508"/>
      <c r="K72" s="570">
        <f>H72+I72+J72</f>
        <v>320779</v>
      </c>
      <c r="L72" s="500">
        <v>1</v>
      </c>
      <c r="M72" s="509" t="s">
        <v>455</v>
      </c>
      <c r="N72" s="500">
        <v>4.85</v>
      </c>
      <c r="O72" s="498">
        <f>N72*66140</f>
        <v>320779</v>
      </c>
      <c r="P72" s="502"/>
      <c r="Q72" s="508"/>
      <c r="R72" s="570">
        <f>O72+P72+Q72</f>
        <v>320779</v>
      </c>
      <c r="S72" s="570">
        <f t="shared" si="2"/>
        <v>0</v>
      </c>
      <c r="T72" s="570">
        <f t="shared" si="3"/>
        <v>0</v>
      </c>
      <c r="U72" s="570">
        <f t="shared" si="3"/>
        <v>0</v>
      </c>
      <c r="V72" s="570">
        <f t="shared" si="3"/>
        <v>0</v>
      </c>
      <c r="W72" s="570">
        <f t="shared" si="4"/>
        <v>0</v>
      </c>
      <c r="X72" s="500">
        <v>1</v>
      </c>
      <c r="Y72" s="509" t="s">
        <v>540</v>
      </c>
      <c r="Z72" s="500">
        <v>4.85</v>
      </c>
      <c r="AA72" s="498">
        <f>Z72*66140</f>
        <v>320779</v>
      </c>
      <c r="AB72" s="502"/>
      <c r="AC72" s="508"/>
      <c r="AD72" s="570">
        <f>AA72+AB72+AC72</f>
        <v>320779</v>
      </c>
      <c r="AE72" s="500">
        <v>1</v>
      </c>
      <c r="AF72" s="509" t="s">
        <v>576</v>
      </c>
      <c r="AG72" s="500">
        <v>4.87</v>
      </c>
      <c r="AH72" s="498">
        <f>AG72*66140</f>
        <v>322101.8</v>
      </c>
      <c r="AI72" s="502"/>
      <c r="AJ72" s="508"/>
      <c r="AK72" s="570">
        <f>AH72+AI72+AJ72</f>
        <v>322101.8</v>
      </c>
      <c r="AL72" s="510"/>
    </row>
    <row r="73" spans="1:38" ht="21" customHeight="1">
      <c r="A73" s="496">
        <v>2</v>
      </c>
      <c r="B73" s="500" t="s">
        <v>598</v>
      </c>
      <c r="C73" s="513" t="s">
        <v>599</v>
      </c>
      <c r="D73" s="520" t="s">
        <v>600</v>
      </c>
      <c r="E73" s="500">
        <v>1</v>
      </c>
      <c r="F73" s="509" t="s">
        <v>454</v>
      </c>
      <c r="G73" s="500">
        <v>4.14</v>
      </c>
      <c r="H73" s="498">
        <f>G73*66140</f>
        <v>273819.6</v>
      </c>
      <c r="I73" s="502"/>
      <c r="J73" s="508">
        <f>H73*0.05</f>
        <v>13690.98</v>
      </c>
      <c r="K73" s="570">
        <f>H73+I73+J73</f>
        <v>287510.57999999996</v>
      </c>
      <c r="L73" s="500">
        <v>1</v>
      </c>
      <c r="M73" s="509" t="s">
        <v>455</v>
      </c>
      <c r="N73" s="500">
        <v>4.14</v>
      </c>
      <c r="O73" s="498">
        <f>N73*66140</f>
        <v>273819.6</v>
      </c>
      <c r="P73" s="502"/>
      <c r="Q73" s="508"/>
      <c r="R73" s="570">
        <f>O73+P73+Q73</f>
        <v>273819.6</v>
      </c>
      <c r="S73" s="570">
        <f t="shared" si="2"/>
        <v>0</v>
      </c>
      <c r="T73" s="570">
        <f t="shared" si="3"/>
        <v>0</v>
      </c>
      <c r="U73" s="570">
        <f t="shared" si="3"/>
        <v>0</v>
      </c>
      <c r="V73" s="570">
        <f t="shared" si="3"/>
        <v>13690.98</v>
      </c>
      <c r="W73" s="570">
        <f t="shared" si="4"/>
        <v>13690.98</v>
      </c>
      <c r="X73" s="500">
        <v>1</v>
      </c>
      <c r="Y73" s="509" t="s">
        <v>456</v>
      </c>
      <c r="Z73" s="500">
        <v>4.14</v>
      </c>
      <c r="AA73" s="498">
        <f>Z73*66140</f>
        <v>273819.6</v>
      </c>
      <c r="AB73" s="502"/>
      <c r="AC73" s="508">
        <f>AA73*0.05</f>
        <v>13690.98</v>
      </c>
      <c r="AD73" s="570">
        <f>AA73+AB73+AC73</f>
        <v>287510.57999999996</v>
      </c>
      <c r="AE73" s="500">
        <v>1</v>
      </c>
      <c r="AF73" s="509" t="s">
        <v>457</v>
      </c>
      <c r="AG73" s="500">
        <v>4.14</v>
      </c>
      <c r="AH73" s="498">
        <f>AG73*66140</f>
        <v>273819.6</v>
      </c>
      <c r="AI73" s="502"/>
      <c r="AJ73" s="508">
        <f>AH73*0.05</f>
        <v>13690.98</v>
      </c>
      <c r="AK73" s="570">
        <f>AH73+AI73+AJ73</f>
        <v>287510.57999999996</v>
      </c>
      <c r="AL73" s="510"/>
    </row>
    <row r="74" spans="1:38" ht="21" customHeight="1">
      <c r="A74" s="496">
        <v>3</v>
      </c>
      <c r="B74" s="585" t="s">
        <v>601</v>
      </c>
      <c r="C74" s="513" t="s">
        <v>602</v>
      </c>
      <c r="D74" s="520" t="s">
        <v>603</v>
      </c>
      <c r="E74" s="500">
        <v>1</v>
      </c>
      <c r="F74" s="509" t="s">
        <v>454</v>
      </c>
      <c r="G74" s="500">
        <v>2.83</v>
      </c>
      <c r="H74" s="498">
        <f>G74*66140</f>
        <v>187176.2</v>
      </c>
      <c r="I74" s="502"/>
      <c r="J74" s="508">
        <f>H74*0.05</f>
        <v>9358.810000000001</v>
      </c>
      <c r="K74" s="570">
        <f>H74+I74+J74</f>
        <v>196535.01</v>
      </c>
      <c r="L74" s="500">
        <v>1</v>
      </c>
      <c r="M74" s="509" t="s">
        <v>455</v>
      </c>
      <c r="N74" s="500">
        <v>2.83</v>
      </c>
      <c r="O74" s="498">
        <f>N74*66140</f>
        <v>187176.2</v>
      </c>
      <c r="P74" s="502"/>
      <c r="Q74" s="508"/>
      <c r="R74" s="570">
        <f>O74+P74+Q74</f>
        <v>187176.2</v>
      </c>
      <c r="S74" s="570">
        <f t="shared" si="2"/>
        <v>0</v>
      </c>
      <c r="T74" s="570">
        <f t="shared" si="3"/>
        <v>0</v>
      </c>
      <c r="U74" s="570">
        <f t="shared" si="3"/>
        <v>0</v>
      </c>
      <c r="V74" s="570">
        <f t="shared" si="3"/>
        <v>9358.810000000001</v>
      </c>
      <c r="W74" s="570">
        <f t="shared" si="4"/>
        <v>9358.810000000001</v>
      </c>
      <c r="X74" s="500">
        <v>1</v>
      </c>
      <c r="Y74" s="509" t="s">
        <v>456</v>
      </c>
      <c r="Z74" s="500">
        <v>2.92</v>
      </c>
      <c r="AA74" s="498">
        <f>Z74*66140</f>
        <v>193128.8</v>
      </c>
      <c r="AB74" s="502"/>
      <c r="AC74" s="508">
        <f>AA74*0.05</f>
        <v>9656.44</v>
      </c>
      <c r="AD74" s="570">
        <f>AA74+AB74+AC74</f>
        <v>202785.24</v>
      </c>
      <c r="AE74" s="500">
        <v>1</v>
      </c>
      <c r="AF74" s="509" t="s">
        <v>457</v>
      </c>
      <c r="AG74" s="500">
        <v>3.02</v>
      </c>
      <c r="AH74" s="498">
        <f>AG74*66140</f>
        <v>199742.8</v>
      </c>
      <c r="AI74" s="502"/>
      <c r="AJ74" s="508">
        <f>AH74*0.05</f>
        <v>9987.14</v>
      </c>
      <c r="AK74" s="570">
        <f>AH74+AI74+AJ74</f>
        <v>209729.94</v>
      </c>
      <c r="AL74" s="510"/>
    </row>
    <row r="75" spans="1:38" ht="21" customHeight="1">
      <c r="A75" s="496">
        <v>4</v>
      </c>
      <c r="B75" s="585" t="s">
        <v>604</v>
      </c>
      <c r="C75" s="513" t="s">
        <v>602</v>
      </c>
      <c r="D75" s="520" t="s">
        <v>605</v>
      </c>
      <c r="E75" s="500">
        <v>1</v>
      </c>
      <c r="F75" s="509" t="s">
        <v>454</v>
      </c>
      <c r="G75" s="500">
        <v>3.42</v>
      </c>
      <c r="H75" s="498">
        <f>G75*66140</f>
        <v>226198.8</v>
      </c>
      <c r="I75" s="502"/>
      <c r="J75" s="508">
        <f>H75*0.05</f>
        <v>11309.94</v>
      </c>
      <c r="K75" s="570">
        <f>H75+I75+J75</f>
        <v>237508.74</v>
      </c>
      <c r="L75" s="500">
        <v>1</v>
      </c>
      <c r="M75" s="509" t="s">
        <v>455</v>
      </c>
      <c r="N75" s="500">
        <v>3.31</v>
      </c>
      <c r="O75" s="498">
        <f>N75*66140</f>
        <v>218923.4</v>
      </c>
      <c r="P75" s="502"/>
      <c r="Q75" s="508"/>
      <c r="R75" s="570">
        <f>O75+P75+Q75</f>
        <v>218923.4</v>
      </c>
      <c r="S75" s="570">
        <f t="shared" si="2"/>
        <v>0</v>
      </c>
      <c r="T75" s="570">
        <f t="shared" si="3"/>
        <v>7275.399999999994</v>
      </c>
      <c r="U75" s="570">
        <f t="shared" si="3"/>
        <v>0</v>
      </c>
      <c r="V75" s="570">
        <f t="shared" si="3"/>
        <v>11309.94</v>
      </c>
      <c r="W75" s="570">
        <f t="shared" si="4"/>
        <v>18585.339999999997</v>
      </c>
      <c r="X75" s="500">
        <v>1</v>
      </c>
      <c r="Y75" s="509" t="s">
        <v>456</v>
      </c>
      <c r="Z75" s="500">
        <v>3.53</v>
      </c>
      <c r="AA75" s="498">
        <f>Z75*66140</f>
        <v>233474.19999999998</v>
      </c>
      <c r="AB75" s="502"/>
      <c r="AC75" s="508">
        <f>AA75*0.05</f>
        <v>11673.71</v>
      </c>
      <c r="AD75" s="570">
        <f>AA75+AB75+AC75</f>
        <v>245147.90999999997</v>
      </c>
      <c r="AE75" s="500">
        <v>1</v>
      </c>
      <c r="AF75" s="509" t="s">
        <v>457</v>
      </c>
      <c r="AG75" s="500">
        <v>3.64</v>
      </c>
      <c r="AH75" s="498">
        <f>AG75*66140</f>
        <v>240749.6</v>
      </c>
      <c r="AI75" s="502"/>
      <c r="AJ75" s="508">
        <f>AH75*0.05</f>
        <v>12037.480000000001</v>
      </c>
      <c r="AK75" s="570">
        <f>AH75+AI75+AJ75</f>
        <v>252787.08000000002</v>
      </c>
      <c r="AL75" s="510"/>
    </row>
    <row r="76" spans="1:38" ht="21" customHeight="1">
      <c r="A76" s="496"/>
      <c r="B76" s="583" t="s">
        <v>181</v>
      </c>
      <c r="C76" s="502" t="s">
        <v>1</v>
      </c>
      <c r="D76" s="521" t="s">
        <v>1</v>
      </c>
      <c r="E76" s="500">
        <f>SUM(E72:E75)</f>
        <v>4</v>
      </c>
      <c r="F76" s="502" t="s">
        <v>1</v>
      </c>
      <c r="G76" s="500"/>
      <c r="H76" s="500">
        <f>SUM(H72:H75)</f>
        <v>1007973.6000000001</v>
      </c>
      <c r="I76" s="500">
        <f>SUM(I72:I75)</f>
        <v>0</v>
      </c>
      <c r="J76" s="500">
        <f>SUM(J72:J75)</f>
        <v>34359.73</v>
      </c>
      <c r="K76" s="500">
        <f>SUM(K72:K75)</f>
        <v>1042333.33</v>
      </c>
      <c r="L76" s="500">
        <f>SUM(L72:L75)</f>
        <v>4</v>
      </c>
      <c r="M76" s="502" t="s">
        <v>1</v>
      </c>
      <c r="N76" s="500"/>
      <c r="O76" s="500">
        <f>SUM(O72:O75)</f>
        <v>1000698.2000000001</v>
      </c>
      <c r="P76" s="500">
        <f aca="true" t="shared" si="30" ref="P76:W76">SUM(P72:P75)</f>
        <v>0</v>
      </c>
      <c r="Q76" s="500">
        <f t="shared" si="30"/>
        <v>0</v>
      </c>
      <c r="R76" s="500">
        <f t="shared" si="30"/>
        <v>1000698.2000000001</v>
      </c>
      <c r="S76" s="500">
        <f t="shared" si="30"/>
        <v>0</v>
      </c>
      <c r="T76" s="500">
        <f t="shared" si="30"/>
        <v>7275.399999999994</v>
      </c>
      <c r="U76" s="500">
        <f t="shared" si="30"/>
        <v>0</v>
      </c>
      <c r="V76" s="500">
        <f t="shared" si="30"/>
        <v>34359.73</v>
      </c>
      <c r="W76" s="500">
        <f t="shared" si="30"/>
        <v>41635.13</v>
      </c>
      <c r="X76" s="500">
        <f>SUM(X72:X75)</f>
        <v>4</v>
      </c>
      <c r="Y76" s="502" t="s">
        <v>1</v>
      </c>
      <c r="Z76" s="500"/>
      <c r="AA76" s="500">
        <f>SUM(AA72:AA75)</f>
        <v>1021201.5999999999</v>
      </c>
      <c r="AB76" s="500">
        <f>SUM(AB72:AB75)</f>
        <v>0</v>
      </c>
      <c r="AC76" s="500">
        <f>SUM(AC72:AC75)</f>
        <v>35021.13</v>
      </c>
      <c r="AD76" s="500">
        <f>SUM(AD72:AD75)</f>
        <v>1056222.73</v>
      </c>
      <c r="AE76" s="500">
        <f>SUM(AE72:AE75)</f>
        <v>4</v>
      </c>
      <c r="AF76" s="502" t="s">
        <v>1</v>
      </c>
      <c r="AG76" s="500"/>
      <c r="AH76" s="500">
        <f>SUM(AH72:AH75)</f>
        <v>1036413.7999999999</v>
      </c>
      <c r="AI76" s="500">
        <f>SUM(AI72:AI75)</f>
        <v>0</v>
      </c>
      <c r="AJ76" s="500">
        <f>SUM(AJ72:AJ75)</f>
        <v>35715.6</v>
      </c>
      <c r="AK76" s="500">
        <f>SUM(AK72:AK75)</f>
        <v>1072129.4</v>
      </c>
      <c r="AL76" s="510"/>
    </row>
    <row r="77" spans="1:38" ht="21" customHeight="1">
      <c r="A77" s="496"/>
      <c r="B77" s="503"/>
      <c r="C77" s="496"/>
      <c r="D77" s="520"/>
      <c r="E77" s="500"/>
      <c r="F77" s="496"/>
      <c r="G77" s="500"/>
      <c r="H77" s="508"/>
      <c r="I77" s="508"/>
      <c r="J77" s="508"/>
      <c r="K77" s="508"/>
      <c r="L77" s="500"/>
      <c r="M77" s="496"/>
      <c r="N77" s="500"/>
      <c r="O77" s="508"/>
      <c r="P77" s="508"/>
      <c r="Q77" s="508"/>
      <c r="R77" s="508"/>
      <c r="S77" s="570"/>
      <c r="T77" s="570"/>
      <c r="U77" s="570"/>
      <c r="V77" s="570"/>
      <c r="W77" s="570"/>
      <c r="X77" s="500"/>
      <c r="Y77" s="496"/>
      <c r="Z77" s="500"/>
      <c r="AA77" s="508"/>
      <c r="AB77" s="508"/>
      <c r="AC77" s="508"/>
      <c r="AD77" s="508"/>
      <c r="AE77" s="500"/>
      <c r="AF77" s="496"/>
      <c r="AG77" s="500"/>
      <c r="AH77" s="508"/>
      <c r="AI77" s="508"/>
      <c r="AJ77" s="508"/>
      <c r="AK77" s="508"/>
      <c r="AL77" s="510"/>
    </row>
    <row r="78" spans="1:38" ht="21" customHeight="1">
      <c r="A78" s="496"/>
      <c r="B78" s="587" t="s">
        <v>169</v>
      </c>
      <c r="C78" s="496"/>
      <c r="D78" s="520"/>
      <c r="E78" s="500"/>
      <c r="F78" s="496"/>
      <c r="G78" s="500"/>
      <c r="H78" s="508"/>
      <c r="I78" s="508"/>
      <c r="J78" s="508"/>
      <c r="K78" s="508"/>
      <c r="L78" s="500"/>
      <c r="M78" s="496"/>
      <c r="N78" s="500"/>
      <c r="O78" s="508"/>
      <c r="P78" s="508"/>
      <c r="Q78" s="508"/>
      <c r="R78" s="508"/>
      <c r="S78" s="570"/>
      <c r="T78" s="570"/>
      <c r="U78" s="570"/>
      <c r="V78" s="570"/>
      <c r="W78" s="570"/>
      <c r="X78" s="500"/>
      <c r="Y78" s="496"/>
      <c r="Z78" s="500"/>
      <c r="AA78" s="508"/>
      <c r="AB78" s="508"/>
      <c r="AC78" s="508"/>
      <c r="AD78" s="508"/>
      <c r="AE78" s="500"/>
      <c r="AF78" s="496"/>
      <c r="AG78" s="500"/>
      <c r="AH78" s="508"/>
      <c r="AI78" s="508"/>
      <c r="AJ78" s="508"/>
      <c r="AK78" s="508"/>
      <c r="AL78" s="510"/>
    </row>
    <row r="79" spans="1:38" ht="21" customHeight="1">
      <c r="A79" s="496"/>
      <c r="B79" s="585" t="s">
        <v>606</v>
      </c>
      <c r="C79" s="501" t="s">
        <v>607</v>
      </c>
      <c r="D79" s="520" t="s">
        <v>608</v>
      </c>
      <c r="E79" s="500">
        <v>1</v>
      </c>
      <c r="F79" s="509" t="s">
        <v>533</v>
      </c>
      <c r="G79" s="500">
        <v>4.01</v>
      </c>
      <c r="H79" s="498">
        <f>G79*66140</f>
        <v>265221.39999999997</v>
      </c>
      <c r="I79" s="502"/>
      <c r="J79" s="508"/>
      <c r="K79" s="570">
        <f>H79+I79+J79</f>
        <v>265221.39999999997</v>
      </c>
      <c r="L79" s="500">
        <v>1</v>
      </c>
      <c r="M79" s="509" t="s">
        <v>609</v>
      </c>
      <c r="N79" s="500">
        <v>3.88</v>
      </c>
      <c r="O79" s="498">
        <f>N79*66140</f>
        <v>256623.19999999998</v>
      </c>
      <c r="P79" s="502"/>
      <c r="Q79" s="508"/>
      <c r="R79" s="570">
        <f>O79+P79+Q79</f>
        <v>256623.19999999998</v>
      </c>
      <c r="S79" s="570">
        <f t="shared" si="2"/>
        <v>0</v>
      </c>
      <c r="T79" s="570">
        <f t="shared" si="3"/>
        <v>8598.199999999983</v>
      </c>
      <c r="U79" s="570">
        <f t="shared" si="3"/>
        <v>0</v>
      </c>
      <c r="V79" s="570">
        <f t="shared" si="3"/>
        <v>0</v>
      </c>
      <c r="W79" s="570">
        <f t="shared" si="4"/>
        <v>8598.199999999983</v>
      </c>
      <c r="X79" s="500">
        <v>1</v>
      </c>
      <c r="Y79" s="509" t="s">
        <v>535</v>
      </c>
      <c r="Z79" s="500">
        <v>4.14</v>
      </c>
      <c r="AA79" s="498">
        <f>Z79*66140</f>
        <v>273819.6</v>
      </c>
      <c r="AB79" s="502"/>
      <c r="AC79" s="508"/>
      <c r="AD79" s="570">
        <f>AA79+AB79+AC79</f>
        <v>273819.6</v>
      </c>
      <c r="AE79" s="500">
        <v>1</v>
      </c>
      <c r="AF79" s="509" t="s">
        <v>449</v>
      </c>
      <c r="AG79" s="500">
        <v>4.27</v>
      </c>
      <c r="AH79" s="498">
        <f>AG79*66140</f>
        <v>282417.8</v>
      </c>
      <c r="AI79" s="502"/>
      <c r="AJ79" s="508"/>
      <c r="AK79" s="570">
        <f>AH79+AI79+AJ79</f>
        <v>282417.8</v>
      </c>
      <c r="AL79" s="510"/>
    </row>
    <row r="80" spans="1:38" ht="21" customHeight="1">
      <c r="A80" s="496"/>
      <c r="B80" s="587" t="s">
        <v>610</v>
      </c>
      <c r="C80" s="502"/>
      <c r="D80" s="521"/>
      <c r="E80" s="500">
        <f>SUM(E79)</f>
        <v>1</v>
      </c>
      <c r="F80" s="502"/>
      <c r="G80" s="500"/>
      <c r="H80" s="500">
        <f>SUM(H79)</f>
        <v>265221.39999999997</v>
      </c>
      <c r="I80" s="500">
        <f>SUM(I79)</f>
        <v>0</v>
      </c>
      <c r="J80" s="500">
        <f>SUM(J79)</f>
        <v>0</v>
      </c>
      <c r="K80" s="500">
        <f>SUM(K79)</f>
        <v>265221.39999999997</v>
      </c>
      <c r="L80" s="500">
        <f>SUM(L79)</f>
        <v>1</v>
      </c>
      <c r="M80" s="502"/>
      <c r="N80" s="500"/>
      <c r="O80" s="500">
        <f>SUM(O79)</f>
        <v>256623.19999999998</v>
      </c>
      <c r="P80" s="500">
        <f aca="true" t="shared" si="31" ref="P80:W80">SUM(P79)</f>
        <v>0</v>
      </c>
      <c r="Q80" s="500">
        <f t="shared" si="31"/>
        <v>0</v>
      </c>
      <c r="R80" s="500">
        <f t="shared" si="31"/>
        <v>256623.19999999998</v>
      </c>
      <c r="S80" s="500">
        <f t="shared" si="31"/>
        <v>0</v>
      </c>
      <c r="T80" s="500">
        <f t="shared" si="31"/>
        <v>8598.199999999983</v>
      </c>
      <c r="U80" s="500">
        <f t="shared" si="31"/>
        <v>0</v>
      </c>
      <c r="V80" s="500">
        <f t="shared" si="31"/>
        <v>0</v>
      </c>
      <c r="W80" s="500">
        <f t="shared" si="31"/>
        <v>8598.199999999983</v>
      </c>
      <c r="X80" s="500">
        <f>SUM(X79)</f>
        <v>1</v>
      </c>
      <c r="Y80" s="502"/>
      <c r="Z80" s="500"/>
      <c r="AA80" s="500">
        <f>SUM(AA79)</f>
        <v>273819.6</v>
      </c>
      <c r="AB80" s="500">
        <f>SUM(AB79)</f>
        <v>0</v>
      </c>
      <c r="AC80" s="500">
        <f>SUM(AC79)</f>
        <v>0</v>
      </c>
      <c r="AD80" s="500">
        <f>SUM(AD79)</f>
        <v>273819.6</v>
      </c>
      <c r="AE80" s="500">
        <f>SUM(AE79)</f>
        <v>1</v>
      </c>
      <c r="AF80" s="502"/>
      <c r="AG80" s="500"/>
      <c r="AH80" s="500">
        <f>SUM(AH79)</f>
        <v>282417.8</v>
      </c>
      <c r="AI80" s="500">
        <f>SUM(AI79)</f>
        <v>0</v>
      </c>
      <c r="AJ80" s="500">
        <f>SUM(AJ79)</f>
        <v>0</v>
      </c>
      <c r="AK80" s="500">
        <f>SUM(AK79)</f>
        <v>282417.8</v>
      </c>
      <c r="AL80" s="510"/>
    </row>
    <row r="81" spans="1:38" ht="21" customHeight="1">
      <c r="A81" s="496">
        <v>1</v>
      </c>
      <c r="B81" s="500" t="s">
        <v>611</v>
      </c>
      <c r="C81" s="501" t="s">
        <v>612</v>
      </c>
      <c r="D81" s="520" t="s">
        <v>613</v>
      </c>
      <c r="E81" s="500">
        <v>1</v>
      </c>
      <c r="F81" s="509" t="s">
        <v>454</v>
      </c>
      <c r="G81" s="500">
        <v>4.7</v>
      </c>
      <c r="H81" s="498">
        <f>G81*66140</f>
        <v>310858</v>
      </c>
      <c r="I81" s="502"/>
      <c r="J81" s="508">
        <f>H81*0.05</f>
        <v>15542.900000000001</v>
      </c>
      <c r="K81" s="570">
        <f>H81+I81+J81</f>
        <v>326400.9</v>
      </c>
      <c r="L81" s="500">
        <v>1</v>
      </c>
      <c r="M81" s="509" t="s">
        <v>455</v>
      </c>
      <c r="N81" s="500">
        <v>4.7</v>
      </c>
      <c r="O81" s="498">
        <f>N81*66140</f>
        <v>310858</v>
      </c>
      <c r="P81" s="502"/>
      <c r="Q81" s="508">
        <f>O81*0.05</f>
        <v>15542.900000000001</v>
      </c>
      <c r="R81" s="570">
        <f>O81+P81+Q81</f>
        <v>326400.9</v>
      </c>
      <c r="S81" s="570">
        <f aca="true" t="shared" si="32" ref="S81:S137">+E81-L81</f>
        <v>0</v>
      </c>
      <c r="T81" s="570">
        <f aca="true" t="shared" si="33" ref="T81:V137">H81-O81</f>
        <v>0</v>
      </c>
      <c r="U81" s="570">
        <f t="shared" si="33"/>
        <v>0</v>
      </c>
      <c r="V81" s="570">
        <f t="shared" si="33"/>
        <v>0</v>
      </c>
      <c r="W81" s="570">
        <f aca="true" t="shared" si="34" ref="W81:W137">T81+U81+V81</f>
        <v>0</v>
      </c>
      <c r="X81" s="500">
        <v>1</v>
      </c>
      <c r="Y81" s="509" t="s">
        <v>540</v>
      </c>
      <c r="Z81" s="500">
        <v>4.7</v>
      </c>
      <c r="AA81" s="498">
        <f>Z81*66140</f>
        <v>310858</v>
      </c>
      <c r="AB81" s="502"/>
      <c r="AC81" s="508">
        <f>AA81*0.05</f>
        <v>15542.900000000001</v>
      </c>
      <c r="AD81" s="570">
        <f>AA81+AB81+AC81</f>
        <v>326400.9</v>
      </c>
      <c r="AE81" s="500">
        <v>1</v>
      </c>
      <c r="AF81" s="509" t="s">
        <v>576</v>
      </c>
      <c r="AG81" s="500">
        <v>4.7</v>
      </c>
      <c r="AH81" s="498">
        <f>AG81*66140</f>
        <v>310858</v>
      </c>
      <c r="AI81" s="502"/>
      <c r="AJ81" s="508">
        <f>AH81*0.05</f>
        <v>15542.900000000001</v>
      </c>
      <c r="AK81" s="570">
        <f>AH81+AI81+AJ81</f>
        <v>326400.9</v>
      </c>
      <c r="AL81" s="510"/>
    </row>
    <row r="82" spans="1:38" ht="32.25" customHeight="1">
      <c r="A82" s="496">
        <v>2</v>
      </c>
      <c r="B82" s="500"/>
      <c r="C82" s="501" t="s">
        <v>614</v>
      </c>
      <c r="D82" s="520" t="s">
        <v>615</v>
      </c>
      <c r="E82" s="500">
        <v>1</v>
      </c>
      <c r="F82" s="509" t="s">
        <v>533</v>
      </c>
      <c r="G82" s="500">
        <v>1.73</v>
      </c>
      <c r="H82" s="498">
        <f>G82*66140</f>
        <v>114422.2</v>
      </c>
      <c r="I82" s="502"/>
      <c r="J82" s="508"/>
      <c r="K82" s="570">
        <f>H82+I82+J82</f>
        <v>114422.2</v>
      </c>
      <c r="L82" s="500">
        <v>1</v>
      </c>
      <c r="M82" s="509" t="s">
        <v>609</v>
      </c>
      <c r="N82" s="500">
        <v>1.68</v>
      </c>
      <c r="O82" s="498">
        <f>N82*66140</f>
        <v>111115.2</v>
      </c>
      <c r="P82" s="502"/>
      <c r="Q82" s="508"/>
      <c r="R82" s="570">
        <f>O82+P82+Q82</f>
        <v>111115.2</v>
      </c>
      <c r="S82" s="570">
        <f t="shared" si="32"/>
        <v>0</v>
      </c>
      <c r="T82" s="570">
        <f t="shared" si="33"/>
        <v>3307</v>
      </c>
      <c r="U82" s="570">
        <f t="shared" si="33"/>
        <v>0</v>
      </c>
      <c r="V82" s="570">
        <f t="shared" si="33"/>
        <v>0</v>
      </c>
      <c r="W82" s="570">
        <f t="shared" si="34"/>
        <v>3307</v>
      </c>
      <c r="X82" s="500">
        <v>1</v>
      </c>
      <c r="Y82" s="509" t="s">
        <v>616</v>
      </c>
      <c r="Z82" s="500">
        <v>1.79</v>
      </c>
      <c r="AA82" s="498">
        <f>Z82*66140</f>
        <v>118390.6</v>
      </c>
      <c r="AB82" s="502"/>
      <c r="AC82" s="508"/>
      <c r="AD82" s="570">
        <f>AA82+AB82+AC82</f>
        <v>118390.6</v>
      </c>
      <c r="AE82" s="500">
        <v>1</v>
      </c>
      <c r="AF82" s="509" t="s">
        <v>449</v>
      </c>
      <c r="AG82" s="500">
        <v>1.84</v>
      </c>
      <c r="AH82" s="498">
        <f>AG82*66140</f>
        <v>121697.6</v>
      </c>
      <c r="AI82" s="502"/>
      <c r="AJ82" s="508"/>
      <c r="AK82" s="570">
        <f>AH82+AI82+AJ82</f>
        <v>121697.6</v>
      </c>
      <c r="AL82" s="510"/>
    </row>
    <row r="83" spans="1:38" ht="21" customHeight="1">
      <c r="A83" s="496">
        <v>3</v>
      </c>
      <c r="B83" s="585" t="s">
        <v>617</v>
      </c>
      <c r="C83" s="501" t="s">
        <v>614</v>
      </c>
      <c r="D83" s="520" t="s">
        <v>618</v>
      </c>
      <c r="E83" s="500">
        <v>1</v>
      </c>
      <c r="F83" s="509" t="s">
        <v>454</v>
      </c>
      <c r="G83" s="500">
        <v>2.83</v>
      </c>
      <c r="H83" s="498">
        <f>G83*66140</f>
        <v>187176.2</v>
      </c>
      <c r="I83" s="502"/>
      <c r="J83" s="508">
        <f>H83*0.05</f>
        <v>9358.810000000001</v>
      </c>
      <c r="K83" s="570">
        <f>H83+I83+J83</f>
        <v>196535.01</v>
      </c>
      <c r="L83" s="500">
        <v>1</v>
      </c>
      <c r="M83" s="509" t="s">
        <v>455</v>
      </c>
      <c r="N83" s="500">
        <v>2.75</v>
      </c>
      <c r="O83" s="498">
        <f>N83*66140</f>
        <v>181885</v>
      </c>
      <c r="P83" s="502"/>
      <c r="Q83" s="508"/>
      <c r="R83" s="570">
        <f>O83+P83+Q83</f>
        <v>181885</v>
      </c>
      <c r="S83" s="570">
        <f t="shared" si="32"/>
        <v>0</v>
      </c>
      <c r="T83" s="570">
        <f t="shared" si="33"/>
        <v>5291.200000000012</v>
      </c>
      <c r="U83" s="570">
        <f t="shared" si="33"/>
        <v>0</v>
      </c>
      <c r="V83" s="570">
        <f t="shared" si="33"/>
        <v>9358.810000000001</v>
      </c>
      <c r="W83" s="570">
        <f t="shared" si="34"/>
        <v>14650.010000000013</v>
      </c>
      <c r="X83" s="500">
        <v>1</v>
      </c>
      <c r="Y83" s="509" t="s">
        <v>540</v>
      </c>
      <c r="Z83" s="500">
        <v>2.92</v>
      </c>
      <c r="AA83" s="498">
        <f>Z83*66140</f>
        <v>193128.8</v>
      </c>
      <c r="AB83" s="502"/>
      <c r="AC83" s="508">
        <f>AA83*0.05</f>
        <v>9656.44</v>
      </c>
      <c r="AD83" s="570">
        <f>AA83+AB83+AC83</f>
        <v>202785.24</v>
      </c>
      <c r="AE83" s="500">
        <v>1</v>
      </c>
      <c r="AF83" s="509" t="s">
        <v>576</v>
      </c>
      <c r="AG83" s="500">
        <v>3.02</v>
      </c>
      <c r="AH83" s="498">
        <f>AG83*66140</f>
        <v>199742.8</v>
      </c>
      <c r="AI83" s="502"/>
      <c r="AJ83" s="508">
        <f>AH83*0.05</f>
        <v>9987.14</v>
      </c>
      <c r="AK83" s="570">
        <f>AH83+AI83+AJ83</f>
        <v>209729.94</v>
      </c>
      <c r="AL83" s="510"/>
    </row>
    <row r="84" spans="1:38" ht="21" customHeight="1">
      <c r="A84" s="496"/>
      <c r="B84" s="588" t="s">
        <v>184</v>
      </c>
      <c r="C84" s="502" t="s">
        <v>1</v>
      </c>
      <c r="D84" s="521" t="s">
        <v>1</v>
      </c>
      <c r="E84" s="500">
        <f>SUM(E81:E83)</f>
        <v>3</v>
      </c>
      <c r="F84" s="502" t="s">
        <v>1</v>
      </c>
      <c r="G84" s="500"/>
      <c r="H84" s="500">
        <f>SUM(H81:H83)</f>
        <v>612456.4</v>
      </c>
      <c r="I84" s="500">
        <f>SUM(I81:I83)</f>
        <v>0</v>
      </c>
      <c r="J84" s="500">
        <f>SUM(J81:J83)</f>
        <v>24901.710000000003</v>
      </c>
      <c r="K84" s="500">
        <f>SUM(K81:K83)</f>
        <v>637358.1100000001</v>
      </c>
      <c r="L84" s="500">
        <f>SUM(L81:L83)</f>
        <v>3</v>
      </c>
      <c r="M84" s="502" t="s">
        <v>1</v>
      </c>
      <c r="N84" s="500"/>
      <c r="O84" s="500">
        <f>SUM(O81:O83)</f>
        <v>603858.2</v>
      </c>
      <c r="P84" s="500">
        <f aca="true" t="shared" si="35" ref="P84:W84">SUM(P81:P83)</f>
        <v>0</v>
      </c>
      <c r="Q84" s="500">
        <f t="shared" si="35"/>
        <v>15542.900000000001</v>
      </c>
      <c r="R84" s="500">
        <f t="shared" si="35"/>
        <v>619401.1000000001</v>
      </c>
      <c r="S84" s="500">
        <f t="shared" si="35"/>
        <v>0</v>
      </c>
      <c r="T84" s="500">
        <f t="shared" si="35"/>
        <v>8598.200000000012</v>
      </c>
      <c r="U84" s="500">
        <f t="shared" si="35"/>
        <v>0</v>
      </c>
      <c r="V84" s="500">
        <f t="shared" si="35"/>
        <v>9358.810000000001</v>
      </c>
      <c r="W84" s="500">
        <f t="shared" si="35"/>
        <v>17957.010000000013</v>
      </c>
      <c r="X84" s="500">
        <f>SUM(X81:X83)</f>
        <v>3</v>
      </c>
      <c r="Y84" s="502" t="s">
        <v>1</v>
      </c>
      <c r="Z84" s="500"/>
      <c r="AA84" s="500">
        <f>SUM(AA81:AA83)</f>
        <v>622377.3999999999</v>
      </c>
      <c r="AB84" s="500">
        <f>SUM(AB81:AB83)</f>
        <v>0</v>
      </c>
      <c r="AC84" s="500">
        <f>SUM(AC81:AC83)</f>
        <v>25199.340000000004</v>
      </c>
      <c r="AD84" s="500">
        <f>SUM(AD81:AD83)</f>
        <v>647576.74</v>
      </c>
      <c r="AE84" s="500">
        <f>SUM(AE81:AE83)</f>
        <v>3</v>
      </c>
      <c r="AF84" s="502" t="s">
        <v>1</v>
      </c>
      <c r="AG84" s="500"/>
      <c r="AH84" s="500">
        <f>SUM(AH81:AH83)</f>
        <v>632298.3999999999</v>
      </c>
      <c r="AI84" s="500">
        <f>SUM(AI81:AI83)</f>
        <v>0</v>
      </c>
      <c r="AJ84" s="500">
        <f>SUM(AJ81:AJ83)</f>
        <v>25530.04</v>
      </c>
      <c r="AK84" s="500">
        <f>SUM(AK81:AK83)</f>
        <v>657828.44</v>
      </c>
      <c r="AL84" s="510"/>
    </row>
    <row r="85" spans="1:38" ht="21" customHeight="1">
      <c r="A85" s="496"/>
      <c r="B85" s="503"/>
      <c r="C85" s="496"/>
      <c r="D85" s="520"/>
      <c r="E85" s="500"/>
      <c r="F85" s="496"/>
      <c r="G85" s="500"/>
      <c r="H85" s="508"/>
      <c r="I85" s="508"/>
      <c r="J85" s="508"/>
      <c r="K85" s="508"/>
      <c r="L85" s="500"/>
      <c r="M85" s="496"/>
      <c r="N85" s="500"/>
      <c r="O85" s="508"/>
      <c r="P85" s="508"/>
      <c r="Q85" s="508"/>
      <c r="R85" s="508"/>
      <c r="S85" s="570"/>
      <c r="T85" s="570"/>
      <c r="U85" s="570"/>
      <c r="V85" s="570"/>
      <c r="W85" s="570"/>
      <c r="X85" s="500"/>
      <c r="Y85" s="496"/>
      <c r="Z85" s="500"/>
      <c r="AA85" s="508"/>
      <c r="AB85" s="508"/>
      <c r="AC85" s="508"/>
      <c r="AD85" s="508"/>
      <c r="AE85" s="500"/>
      <c r="AF85" s="496"/>
      <c r="AG85" s="500"/>
      <c r="AH85" s="508"/>
      <c r="AI85" s="508"/>
      <c r="AJ85" s="508"/>
      <c r="AK85" s="508"/>
      <c r="AL85" s="510"/>
    </row>
    <row r="86" spans="1:38" ht="21" customHeight="1">
      <c r="A86" s="496"/>
      <c r="B86" s="587" t="s">
        <v>619</v>
      </c>
      <c r="C86" s="502"/>
      <c r="D86" s="521"/>
      <c r="E86" s="500"/>
      <c r="F86" s="502"/>
      <c r="G86" s="500"/>
      <c r="H86" s="508"/>
      <c r="I86" s="508"/>
      <c r="J86" s="508"/>
      <c r="K86" s="508"/>
      <c r="L86" s="500"/>
      <c r="M86" s="502"/>
      <c r="N86" s="500"/>
      <c r="O86" s="508"/>
      <c r="P86" s="508"/>
      <c r="Q86" s="508"/>
      <c r="R86" s="508"/>
      <c r="S86" s="570"/>
      <c r="T86" s="570"/>
      <c r="U86" s="570"/>
      <c r="V86" s="570"/>
      <c r="W86" s="570"/>
      <c r="X86" s="500"/>
      <c r="Y86" s="502"/>
      <c r="Z86" s="500"/>
      <c r="AA86" s="508"/>
      <c r="AB86" s="508"/>
      <c r="AC86" s="508"/>
      <c r="AD86" s="508"/>
      <c r="AE86" s="500"/>
      <c r="AF86" s="502"/>
      <c r="AG86" s="500"/>
      <c r="AH86" s="508"/>
      <c r="AI86" s="508"/>
      <c r="AJ86" s="508"/>
      <c r="AK86" s="508"/>
      <c r="AL86" s="510"/>
    </row>
    <row r="87" spans="1:38" ht="21" customHeight="1">
      <c r="A87" s="496">
        <v>1</v>
      </c>
      <c r="B87" s="500" t="s">
        <v>620</v>
      </c>
      <c r="C87" s="501" t="s">
        <v>621</v>
      </c>
      <c r="D87" s="520" t="s">
        <v>622</v>
      </c>
      <c r="E87" s="500">
        <v>1</v>
      </c>
      <c r="F87" s="509" t="s">
        <v>505</v>
      </c>
      <c r="G87" s="500">
        <v>4.01</v>
      </c>
      <c r="H87" s="498">
        <f>G87*66140</f>
        <v>265221.39999999997</v>
      </c>
      <c r="I87" s="502"/>
      <c r="J87" s="508"/>
      <c r="K87" s="570">
        <f>H87+I87+J87</f>
        <v>265221.39999999997</v>
      </c>
      <c r="L87" s="500">
        <v>1</v>
      </c>
      <c r="M87" s="509" t="s">
        <v>455</v>
      </c>
      <c r="N87" s="500">
        <v>4.01</v>
      </c>
      <c r="O87" s="498">
        <f>N87*66140</f>
        <v>265221.39999999997</v>
      </c>
      <c r="P87" s="502"/>
      <c r="Q87" s="508"/>
      <c r="R87" s="570">
        <f>O87+P87+Q87</f>
        <v>265221.39999999997</v>
      </c>
      <c r="S87" s="570">
        <f t="shared" si="32"/>
        <v>0</v>
      </c>
      <c r="T87" s="570">
        <f t="shared" si="33"/>
        <v>0</v>
      </c>
      <c r="U87" s="570">
        <f t="shared" si="33"/>
        <v>0</v>
      </c>
      <c r="V87" s="570">
        <f t="shared" si="33"/>
        <v>0</v>
      </c>
      <c r="W87" s="570">
        <f t="shared" si="34"/>
        <v>0</v>
      </c>
      <c r="X87" s="500">
        <v>1</v>
      </c>
      <c r="Y87" s="509" t="s">
        <v>456</v>
      </c>
      <c r="Z87" s="500">
        <v>4.01</v>
      </c>
      <c r="AA87" s="498">
        <f>Z87*66140</f>
        <v>265221.39999999997</v>
      </c>
      <c r="AB87" s="502"/>
      <c r="AC87" s="508"/>
      <c r="AD87" s="570">
        <f>AA87+AB87+AC87</f>
        <v>265221.39999999997</v>
      </c>
      <c r="AE87" s="500">
        <v>1</v>
      </c>
      <c r="AF87" s="509" t="s">
        <v>457</v>
      </c>
      <c r="AG87" s="500">
        <v>4.01</v>
      </c>
      <c r="AH87" s="498">
        <f>AG87*66140</f>
        <v>265221.39999999997</v>
      </c>
      <c r="AI87" s="502"/>
      <c r="AJ87" s="508"/>
      <c r="AK87" s="570">
        <f>AH87+AI87+AJ87</f>
        <v>265221.39999999997</v>
      </c>
      <c r="AL87" s="510"/>
    </row>
    <row r="88" spans="1:38" ht="21" customHeight="1">
      <c r="A88" s="496">
        <v>2</v>
      </c>
      <c r="B88" s="500" t="s">
        <v>623</v>
      </c>
      <c r="C88" s="501" t="s">
        <v>624</v>
      </c>
      <c r="D88" s="520" t="s">
        <v>625</v>
      </c>
      <c r="E88" s="500">
        <v>1</v>
      </c>
      <c r="F88" s="496" t="s">
        <v>626</v>
      </c>
      <c r="G88" s="500">
        <v>4.13</v>
      </c>
      <c r="H88" s="498">
        <f>G88*66140</f>
        <v>273158.2</v>
      </c>
      <c r="I88" s="502"/>
      <c r="J88" s="508">
        <f>H88*0.05</f>
        <v>13657.910000000002</v>
      </c>
      <c r="K88" s="570">
        <f>H88+I88+J88</f>
        <v>286816.11</v>
      </c>
      <c r="L88" s="500">
        <v>1</v>
      </c>
      <c r="M88" s="496" t="s">
        <v>627</v>
      </c>
      <c r="N88" s="500">
        <v>4.13</v>
      </c>
      <c r="O88" s="498">
        <f>N88*66140</f>
        <v>273158.2</v>
      </c>
      <c r="P88" s="502"/>
      <c r="Q88" s="508">
        <f>O88*0.05</f>
        <v>13657.910000000002</v>
      </c>
      <c r="R88" s="570">
        <f>O88+P88+Q88</f>
        <v>286816.11</v>
      </c>
      <c r="S88" s="570">
        <f t="shared" si="32"/>
        <v>0</v>
      </c>
      <c r="T88" s="570">
        <f t="shared" si="33"/>
        <v>0</v>
      </c>
      <c r="U88" s="570">
        <f t="shared" si="33"/>
        <v>0</v>
      </c>
      <c r="V88" s="570">
        <f t="shared" si="33"/>
        <v>0</v>
      </c>
      <c r="W88" s="570">
        <f t="shared" si="34"/>
        <v>0</v>
      </c>
      <c r="X88" s="500">
        <v>1</v>
      </c>
      <c r="Y88" s="496" t="s">
        <v>628</v>
      </c>
      <c r="Z88" s="500">
        <v>4.27</v>
      </c>
      <c r="AA88" s="498">
        <f>Z88*66140</f>
        <v>282417.8</v>
      </c>
      <c r="AB88" s="502"/>
      <c r="AC88" s="508">
        <f>AA88*0.05</f>
        <v>14120.89</v>
      </c>
      <c r="AD88" s="570">
        <f>AA88+AB88+AC88</f>
        <v>296538.69</v>
      </c>
      <c r="AE88" s="500">
        <v>1</v>
      </c>
      <c r="AF88" s="496" t="s">
        <v>629</v>
      </c>
      <c r="AG88" s="500">
        <v>4.27</v>
      </c>
      <c r="AH88" s="498">
        <f>AG88*66140</f>
        <v>282417.8</v>
      </c>
      <c r="AI88" s="502"/>
      <c r="AJ88" s="508">
        <f>AH88*0.05</f>
        <v>14120.89</v>
      </c>
      <c r="AK88" s="570">
        <f>AH88+AI88+AJ88</f>
        <v>296538.69</v>
      </c>
      <c r="AL88" s="510"/>
    </row>
    <row r="89" spans="1:38" ht="30" customHeight="1">
      <c r="A89" s="496">
        <v>3</v>
      </c>
      <c r="B89" s="585"/>
      <c r="C89" s="501" t="s">
        <v>630</v>
      </c>
      <c r="D89" s="520" t="s">
        <v>631</v>
      </c>
      <c r="E89" s="500">
        <v>1</v>
      </c>
      <c r="F89" s="533" t="s">
        <v>632</v>
      </c>
      <c r="G89" s="500">
        <v>1.73</v>
      </c>
      <c r="H89" s="498">
        <f>G89*66140</f>
        <v>114422.2</v>
      </c>
      <c r="I89" s="502"/>
      <c r="J89" s="508"/>
      <c r="K89" s="570">
        <f>H89+I89+J89</f>
        <v>114422.2</v>
      </c>
      <c r="L89" s="500">
        <v>1</v>
      </c>
      <c r="M89" s="509" t="s">
        <v>447</v>
      </c>
      <c r="N89" s="500">
        <v>1.68</v>
      </c>
      <c r="O89" s="498">
        <f>N89*66140</f>
        <v>111115.2</v>
      </c>
      <c r="P89" s="502"/>
      <c r="Q89" s="508"/>
      <c r="R89" s="570">
        <f>O89+P89+Q89</f>
        <v>111115.2</v>
      </c>
      <c r="S89" s="570">
        <f t="shared" si="32"/>
        <v>0</v>
      </c>
      <c r="T89" s="570">
        <f t="shared" si="33"/>
        <v>3307</v>
      </c>
      <c r="U89" s="570">
        <f t="shared" si="33"/>
        <v>0</v>
      </c>
      <c r="V89" s="570">
        <f t="shared" si="33"/>
        <v>0</v>
      </c>
      <c r="W89" s="570">
        <f t="shared" si="34"/>
        <v>3307</v>
      </c>
      <c r="X89" s="500">
        <v>1</v>
      </c>
      <c r="Y89" s="509" t="s">
        <v>535</v>
      </c>
      <c r="Z89" s="500">
        <v>1.79</v>
      </c>
      <c r="AA89" s="498">
        <f>Z89*66140</f>
        <v>118390.6</v>
      </c>
      <c r="AB89" s="502"/>
      <c r="AC89" s="508">
        <f>AA89*0.05</f>
        <v>5919.530000000001</v>
      </c>
      <c r="AD89" s="570">
        <f>AA89+AB89+AC89</f>
        <v>124310.13</v>
      </c>
      <c r="AE89" s="500">
        <v>1</v>
      </c>
      <c r="AF89" s="509" t="s">
        <v>536</v>
      </c>
      <c r="AG89" s="500">
        <v>1.84</v>
      </c>
      <c r="AH89" s="498">
        <f>AG89*66140</f>
        <v>121697.6</v>
      </c>
      <c r="AI89" s="502"/>
      <c r="AJ89" s="508">
        <f>AH89*0.05</f>
        <v>6084.880000000001</v>
      </c>
      <c r="AK89" s="570">
        <f>AH89+AI89+AJ89</f>
        <v>127782.48000000001</v>
      </c>
      <c r="AL89" s="510"/>
    </row>
    <row r="90" spans="1:38" ht="21" customHeight="1">
      <c r="A90" s="496"/>
      <c r="B90" s="588" t="s">
        <v>184</v>
      </c>
      <c r="C90" s="502" t="s">
        <v>1</v>
      </c>
      <c r="D90" s="521" t="s">
        <v>1</v>
      </c>
      <c r="E90" s="500">
        <f>SUM(E87:E89)</f>
        <v>3</v>
      </c>
      <c r="F90" s="502" t="s">
        <v>1</v>
      </c>
      <c r="G90" s="500"/>
      <c r="H90" s="500">
        <f>SUM(H87:H89)</f>
        <v>652801.7999999999</v>
      </c>
      <c r="I90" s="500">
        <f>SUM(I87:I89)</f>
        <v>0</v>
      </c>
      <c r="J90" s="500">
        <f>SUM(J87:J89)</f>
        <v>13657.910000000002</v>
      </c>
      <c r="K90" s="500">
        <f>SUM(K87:K89)</f>
        <v>666459.71</v>
      </c>
      <c r="L90" s="500">
        <f>SUM(L87:L89)</f>
        <v>3</v>
      </c>
      <c r="M90" s="502" t="s">
        <v>1</v>
      </c>
      <c r="N90" s="500"/>
      <c r="O90" s="500">
        <f>SUM(O87:O89)</f>
        <v>649494.7999999999</v>
      </c>
      <c r="P90" s="500">
        <f aca="true" t="shared" si="36" ref="P90:W90">SUM(P87:P89)</f>
        <v>0</v>
      </c>
      <c r="Q90" s="500">
        <f t="shared" si="36"/>
        <v>13657.910000000002</v>
      </c>
      <c r="R90" s="500">
        <f t="shared" si="36"/>
        <v>663152.71</v>
      </c>
      <c r="S90" s="500">
        <f t="shared" si="36"/>
        <v>0</v>
      </c>
      <c r="T90" s="500">
        <f t="shared" si="36"/>
        <v>3307</v>
      </c>
      <c r="U90" s="500">
        <f t="shared" si="36"/>
        <v>0</v>
      </c>
      <c r="V90" s="500">
        <f t="shared" si="36"/>
        <v>0</v>
      </c>
      <c r="W90" s="500">
        <f t="shared" si="36"/>
        <v>3307</v>
      </c>
      <c r="X90" s="500">
        <f>SUM(X87:X89)</f>
        <v>3</v>
      </c>
      <c r="Y90" s="502" t="s">
        <v>1</v>
      </c>
      <c r="Z90" s="500"/>
      <c r="AA90" s="500">
        <f>SUM(AA87:AA89)</f>
        <v>666029.7999999999</v>
      </c>
      <c r="AB90" s="500">
        <f>SUM(AB87:AB89)</f>
        <v>0</v>
      </c>
      <c r="AC90" s="500">
        <f>SUM(AC87:AC89)</f>
        <v>20040.42</v>
      </c>
      <c r="AD90" s="500">
        <f>SUM(AD87:AD89)</f>
        <v>686070.22</v>
      </c>
      <c r="AE90" s="500">
        <f>SUM(AE87:AE89)</f>
        <v>3</v>
      </c>
      <c r="AF90" s="502" t="s">
        <v>1</v>
      </c>
      <c r="AG90" s="500"/>
      <c r="AH90" s="500">
        <f>SUM(AH87:AH89)</f>
        <v>669336.7999999999</v>
      </c>
      <c r="AI90" s="500">
        <f>SUM(AI87:AI89)</f>
        <v>0</v>
      </c>
      <c r="AJ90" s="500">
        <f>SUM(AJ87:AJ89)</f>
        <v>20205.77</v>
      </c>
      <c r="AK90" s="500">
        <f>SUM(AK87:AK89)</f>
        <v>689542.57</v>
      </c>
      <c r="AL90" s="510"/>
    </row>
    <row r="91" spans="1:38" ht="21" customHeight="1">
      <c r="A91" s="496"/>
      <c r="B91" s="583" t="s">
        <v>181</v>
      </c>
      <c r="C91" s="502" t="s">
        <v>1</v>
      </c>
      <c r="D91" s="521" t="s">
        <v>1</v>
      </c>
      <c r="E91" s="500">
        <f>E90+E84+E80</f>
        <v>7</v>
      </c>
      <c r="F91" s="502" t="s">
        <v>1</v>
      </c>
      <c r="G91" s="500"/>
      <c r="H91" s="500">
        <f>H90+H84+H80</f>
        <v>1530479.5999999999</v>
      </c>
      <c r="I91" s="500">
        <f>I90+I84+I80</f>
        <v>0</v>
      </c>
      <c r="J91" s="500">
        <f>J90+J84+J80</f>
        <v>38559.62</v>
      </c>
      <c r="K91" s="500">
        <f>K90+K84+K80</f>
        <v>1569039.22</v>
      </c>
      <c r="L91" s="500">
        <f>L90+L84+L80</f>
        <v>7</v>
      </c>
      <c r="M91" s="502" t="s">
        <v>1</v>
      </c>
      <c r="N91" s="500"/>
      <c r="O91" s="500">
        <f aca="true" t="shared" si="37" ref="O91:W91">O90+O84+O80</f>
        <v>1509976.2</v>
      </c>
      <c r="P91" s="500">
        <f t="shared" si="37"/>
        <v>0</v>
      </c>
      <c r="Q91" s="500">
        <f t="shared" si="37"/>
        <v>29200.810000000005</v>
      </c>
      <c r="R91" s="500">
        <f t="shared" si="37"/>
        <v>1539177.01</v>
      </c>
      <c r="S91" s="500">
        <f t="shared" si="37"/>
        <v>0</v>
      </c>
      <c r="T91" s="500">
        <f t="shared" si="37"/>
        <v>20503.399999999994</v>
      </c>
      <c r="U91" s="500">
        <f t="shared" si="37"/>
        <v>0</v>
      </c>
      <c r="V91" s="500">
        <f t="shared" si="37"/>
        <v>9358.810000000001</v>
      </c>
      <c r="W91" s="500">
        <f t="shared" si="37"/>
        <v>29862.209999999995</v>
      </c>
      <c r="X91" s="500">
        <f>X90+X84+X80</f>
        <v>7</v>
      </c>
      <c r="Y91" s="502" t="s">
        <v>1</v>
      </c>
      <c r="Z91" s="500"/>
      <c r="AA91" s="500">
        <f>AA90+AA84+AA80</f>
        <v>1562226.7999999998</v>
      </c>
      <c r="AB91" s="500">
        <f>AB90+AB84+AB80</f>
        <v>0</v>
      </c>
      <c r="AC91" s="500">
        <f>AC90+AC84+AC80</f>
        <v>45239.76</v>
      </c>
      <c r="AD91" s="500">
        <f>AD90+AD84+AD80</f>
        <v>1607466.56</v>
      </c>
      <c r="AE91" s="500">
        <f>AE90+AE84+AE80</f>
        <v>7</v>
      </c>
      <c r="AF91" s="502" t="s">
        <v>1</v>
      </c>
      <c r="AG91" s="500"/>
      <c r="AH91" s="500">
        <f>AH90+AH84+AH80</f>
        <v>1584052.9999999998</v>
      </c>
      <c r="AI91" s="500">
        <f>AI90+AI84+AI80</f>
        <v>0</v>
      </c>
      <c r="AJ91" s="500">
        <f>AJ90+AJ84+AJ80</f>
        <v>45735.81</v>
      </c>
      <c r="AK91" s="500">
        <f>AK90+AK84+AK80</f>
        <v>1629788.8099999998</v>
      </c>
      <c r="AL91" s="510"/>
    </row>
    <row r="92" spans="1:38" ht="60.75" customHeight="1">
      <c r="A92" s="496"/>
      <c r="B92" s="501" t="s">
        <v>633</v>
      </c>
      <c r="C92" s="502"/>
      <c r="D92" s="521"/>
      <c r="E92" s="500"/>
      <c r="F92" s="502"/>
      <c r="G92" s="500"/>
      <c r="H92" s="508"/>
      <c r="I92" s="508"/>
      <c r="J92" s="508"/>
      <c r="K92" s="508"/>
      <c r="L92" s="500"/>
      <c r="M92" s="502"/>
      <c r="N92" s="500"/>
      <c r="O92" s="508"/>
      <c r="P92" s="508"/>
      <c r="Q92" s="508"/>
      <c r="R92" s="508"/>
      <c r="S92" s="570"/>
      <c r="T92" s="570"/>
      <c r="U92" s="570"/>
      <c r="V92" s="570"/>
      <c r="W92" s="570"/>
      <c r="X92" s="500"/>
      <c r="Y92" s="502"/>
      <c r="Z92" s="500"/>
      <c r="AA92" s="508"/>
      <c r="AB92" s="508"/>
      <c r="AC92" s="508"/>
      <c r="AD92" s="508"/>
      <c r="AE92" s="500"/>
      <c r="AF92" s="502"/>
      <c r="AG92" s="500"/>
      <c r="AH92" s="508"/>
      <c r="AI92" s="508"/>
      <c r="AJ92" s="508"/>
      <c r="AK92" s="508"/>
      <c r="AL92" s="510"/>
    </row>
    <row r="93" spans="1:38" ht="21" customHeight="1">
      <c r="A93" s="496">
        <v>1</v>
      </c>
      <c r="B93" s="500" t="s">
        <v>634</v>
      </c>
      <c r="C93" s="513" t="s">
        <v>635</v>
      </c>
      <c r="D93" s="520" t="s">
        <v>636</v>
      </c>
      <c r="E93" s="500">
        <v>1</v>
      </c>
      <c r="F93" s="496" t="s">
        <v>637</v>
      </c>
      <c r="G93" s="500">
        <v>5.17</v>
      </c>
      <c r="H93" s="498">
        <f>G93*66140</f>
        <v>341943.8</v>
      </c>
      <c r="I93" s="502"/>
      <c r="J93" s="508">
        <f>H93*0.05</f>
        <v>17097.19</v>
      </c>
      <c r="K93" s="570">
        <f>H93+I93+J93</f>
        <v>359040.99</v>
      </c>
      <c r="L93" s="500">
        <v>1</v>
      </c>
      <c r="M93" s="496" t="s">
        <v>638</v>
      </c>
      <c r="N93" s="500">
        <v>5.01</v>
      </c>
      <c r="O93" s="498">
        <f>N93*66140</f>
        <v>331361.39999999997</v>
      </c>
      <c r="P93" s="502"/>
      <c r="Q93" s="508">
        <f>O93*0.05</f>
        <v>16568.07</v>
      </c>
      <c r="R93" s="570">
        <f>O93+P93+Q93</f>
        <v>347929.47</v>
      </c>
      <c r="S93" s="570">
        <f t="shared" si="32"/>
        <v>0</v>
      </c>
      <c r="T93" s="570">
        <f t="shared" si="33"/>
        <v>10582.400000000023</v>
      </c>
      <c r="U93" s="570">
        <f t="shared" si="33"/>
        <v>0</v>
      </c>
      <c r="V93" s="570">
        <f t="shared" si="33"/>
        <v>529.119999999999</v>
      </c>
      <c r="W93" s="570">
        <f t="shared" si="34"/>
        <v>11111.520000000022</v>
      </c>
      <c r="X93" s="500">
        <v>1</v>
      </c>
      <c r="Y93" s="496" t="s">
        <v>639</v>
      </c>
      <c r="Z93" s="500">
        <v>5.17</v>
      </c>
      <c r="AA93" s="498">
        <f>Z93*66140</f>
        <v>341943.8</v>
      </c>
      <c r="AB93" s="502"/>
      <c r="AC93" s="508">
        <f>AA93*0.05</f>
        <v>17097.19</v>
      </c>
      <c r="AD93" s="570">
        <f>AA93+AB93+AC93</f>
        <v>359040.99</v>
      </c>
      <c r="AE93" s="500">
        <v>1</v>
      </c>
      <c r="AF93" s="496" t="s">
        <v>640</v>
      </c>
      <c r="AG93" s="500">
        <v>5.17</v>
      </c>
      <c r="AH93" s="498">
        <f>AG93*66140</f>
        <v>341943.8</v>
      </c>
      <c r="AI93" s="502"/>
      <c r="AJ93" s="508">
        <f>AH93*0.05</f>
        <v>17097.19</v>
      </c>
      <c r="AK93" s="570">
        <f>AH93+AI93+AJ93</f>
        <v>359040.99</v>
      </c>
      <c r="AL93" s="510"/>
    </row>
    <row r="94" spans="1:38" ht="21" customHeight="1">
      <c r="A94" s="496">
        <v>2</v>
      </c>
      <c r="B94" s="500" t="s">
        <v>641</v>
      </c>
      <c r="C94" s="513" t="s">
        <v>642</v>
      </c>
      <c r="D94" s="520" t="s">
        <v>643</v>
      </c>
      <c r="E94" s="500">
        <v>1</v>
      </c>
      <c r="F94" s="496" t="s">
        <v>644</v>
      </c>
      <c r="G94" s="500">
        <v>3.53</v>
      </c>
      <c r="H94" s="498">
        <f>G94*66140</f>
        <v>233474.19999999998</v>
      </c>
      <c r="I94" s="502"/>
      <c r="J94" s="508">
        <f>H94*0.05</f>
        <v>11673.71</v>
      </c>
      <c r="K94" s="570">
        <f>H94+I94+J94</f>
        <v>245147.90999999997</v>
      </c>
      <c r="L94" s="500">
        <v>1</v>
      </c>
      <c r="M94" s="496" t="s">
        <v>645</v>
      </c>
      <c r="N94" s="500">
        <v>3.42</v>
      </c>
      <c r="O94" s="498">
        <f>N94*66140</f>
        <v>226198.8</v>
      </c>
      <c r="P94" s="502"/>
      <c r="Q94" s="508">
        <f>O94*0.05</f>
        <v>11309.94</v>
      </c>
      <c r="R94" s="570">
        <f>O94+P94+Q94</f>
        <v>237508.74</v>
      </c>
      <c r="S94" s="570">
        <f t="shared" si="32"/>
        <v>0</v>
      </c>
      <c r="T94" s="570">
        <f t="shared" si="33"/>
        <v>7275.399999999994</v>
      </c>
      <c r="U94" s="570">
        <f t="shared" si="33"/>
        <v>0</v>
      </c>
      <c r="V94" s="570">
        <f t="shared" si="33"/>
        <v>363.7699999999986</v>
      </c>
      <c r="W94" s="570">
        <f t="shared" si="34"/>
        <v>7639.169999999993</v>
      </c>
      <c r="X94" s="500">
        <v>1</v>
      </c>
      <c r="Y94" s="496" t="s">
        <v>646</v>
      </c>
      <c r="Z94" s="500">
        <v>3.53</v>
      </c>
      <c r="AA94" s="498">
        <f>Z94*66140</f>
        <v>233474.19999999998</v>
      </c>
      <c r="AB94" s="502"/>
      <c r="AC94" s="508">
        <f>AA94*0.05</f>
        <v>11673.71</v>
      </c>
      <c r="AD94" s="570">
        <f>AA94+AB94+AC94</f>
        <v>245147.90999999997</v>
      </c>
      <c r="AE94" s="500">
        <v>1</v>
      </c>
      <c r="AF94" s="496" t="s">
        <v>647</v>
      </c>
      <c r="AG94" s="500">
        <v>3.42</v>
      </c>
      <c r="AH94" s="498">
        <f>AG94*66140</f>
        <v>226198.8</v>
      </c>
      <c r="AI94" s="502"/>
      <c r="AJ94" s="508">
        <f>AH94*0.05</f>
        <v>11309.94</v>
      </c>
      <c r="AK94" s="570">
        <f>AH94+AI94+AJ94</f>
        <v>237508.74</v>
      </c>
      <c r="AL94" s="510"/>
    </row>
    <row r="95" spans="1:38" ht="21" customHeight="1">
      <c r="A95" s="496">
        <v>3</v>
      </c>
      <c r="B95" s="585" t="s">
        <v>648</v>
      </c>
      <c r="C95" s="513" t="s">
        <v>649</v>
      </c>
      <c r="D95" s="520" t="s">
        <v>650</v>
      </c>
      <c r="E95" s="500">
        <v>1</v>
      </c>
      <c r="F95" s="509" t="s">
        <v>454</v>
      </c>
      <c r="G95" s="500">
        <v>2.08</v>
      </c>
      <c r="H95" s="498">
        <f>G95*66140</f>
        <v>137571.2</v>
      </c>
      <c r="I95" s="502"/>
      <c r="J95" s="508">
        <f>H95*0.05</f>
        <v>6878.560000000001</v>
      </c>
      <c r="K95" s="570">
        <f>H95+I95+J95</f>
        <v>144449.76</v>
      </c>
      <c r="L95" s="500">
        <v>1</v>
      </c>
      <c r="M95" s="509" t="s">
        <v>455</v>
      </c>
      <c r="N95" s="500">
        <v>2.08</v>
      </c>
      <c r="O95" s="498">
        <f>N95*66140</f>
        <v>137571.2</v>
      </c>
      <c r="P95" s="502"/>
      <c r="Q95" s="508"/>
      <c r="R95" s="570">
        <f>O95+P95+Q95</f>
        <v>137571.2</v>
      </c>
      <c r="S95" s="570">
        <f t="shared" si="32"/>
        <v>0</v>
      </c>
      <c r="T95" s="570">
        <f t="shared" si="33"/>
        <v>0</v>
      </c>
      <c r="U95" s="570">
        <f t="shared" si="33"/>
        <v>0</v>
      </c>
      <c r="V95" s="570">
        <f t="shared" si="33"/>
        <v>6878.560000000001</v>
      </c>
      <c r="W95" s="570">
        <f t="shared" si="34"/>
        <v>6878.560000000001</v>
      </c>
      <c r="X95" s="500">
        <v>1</v>
      </c>
      <c r="Y95" s="509" t="s">
        <v>456</v>
      </c>
      <c r="Z95" s="500">
        <v>2.08</v>
      </c>
      <c r="AA95" s="498">
        <f>Z95*66140</f>
        <v>137571.2</v>
      </c>
      <c r="AB95" s="502"/>
      <c r="AC95" s="508">
        <f>AA95*0.05</f>
        <v>6878.560000000001</v>
      </c>
      <c r="AD95" s="570">
        <f>AA95+AB95+AC95</f>
        <v>144449.76</v>
      </c>
      <c r="AE95" s="500">
        <v>1</v>
      </c>
      <c r="AF95" s="509" t="s">
        <v>457</v>
      </c>
      <c r="AG95" s="500">
        <v>2.08</v>
      </c>
      <c r="AH95" s="498">
        <f>AG95*66140</f>
        <v>137571.2</v>
      </c>
      <c r="AI95" s="502"/>
      <c r="AJ95" s="508">
        <f>AH95*0.05</f>
        <v>6878.560000000001</v>
      </c>
      <c r="AK95" s="570">
        <f>AH95+AI95+AJ95</f>
        <v>144449.76</v>
      </c>
      <c r="AL95" s="510"/>
    </row>
    <row r="96" spans="1:38" ht="21" customHeight="1">
      <c r="A96" s="496"/>
      <c r="B96" s="583" t="s">
        <v>181</v>
      </c>
      <c r="C96" s="502" t="s">
        <v>1</v>
      </c>
      <c r="D96" s="521" t="s">
        <v>1</v>
      </c>
      <c r="E96" s="500">
        <f>SUM(E93:E95)</f>
        <v>3</v>
      </c>
      <c r="F96" s="502" t="s">
        <v>1</v>
      </c>
      <c r="G96" s="500"/>
      <c r="H96" s="500">
        <f>SUM(H93:H95)</f>
        <v>712989.2</v>
      </c>
      <c r="I96" s="500">
        <f>SUM(I93:I95)</f>
        <v>0</v>
      </c>
      <c r="J96" s="500">
        <f>SUM(J93:J95)</f>
        <v>35649.46</v>
      </c>
      <c r="K96" s="500">
        <f>SUM(K93:K95)</f>
        <v>748638.6599999999</v>
      </c>
      <c r="L96" s="500">
        <f>SUM(L93:L95)</f>
        <v>3</v>
      </c>
      <c r="M96" s="502" t="s">
        <v>1</v>
      </c>
      <c r="N96" s="500"/>
      <c r="O96" s="500">
        <f>SUM(O93:O95)</f>
        <v>695131.3999999999</v>
      </c>
      <c r="P96" s="500">
        <f aca="true" t="shared" si="38" ref="P96:W96">SUM(P93:P95)</f>
        <v>0</v>
      </c>
      <c r="Q96" s="500">
        <f t="shared" si="38"/>
        <v>27878.010000000002</v>
      </c>
      <c r="R96" s="500">
        <f t="shared" si="38"/>
        <v>723009.4099999999</v>
      </c>
      <c r="S96" s="500">
        <f t="shared" si="38"/>
        <v>0</v>
      </c>
      <c r="T96" s="500">
        <f t="shared" si="38"/>
        <v>17857.800000000017</v>
      </c>
      <c r="U96" s="500">
        <f t="shared" si="38"/>
        <v>0</v>
      </c>
      <c r="V96" s="500">
        <f t="shared" si="38"/>
        <v>7771.449999999999</v>
      </c>
      <c r="W96" s="500">
        <f t="shared" si="38"/>
        <v>25629.25000000002</v>
      </c>
      <c r="X96" s="500">
        <f>SUM(X93:X95)</f>
        <v>3</v>
      </c>
      <c r="Y96" s="502" t="s">
        <v>1</v>
      </c>
      <c r="Z96" s="500"/>
      <c r="AA96" s="500">
        <f>SUM(AA93:AA95)</f>
        <v>712989.2</v>
      </c>
      <c r="AB96" s="500">
        <f>SUM(AB93:AB95)</f>
        <v>0</v>
      </c>
      <c r="AC96" s="500">
        <f>SUM(AC93:AC95)</f>
        <v>35649.46</v>
      </c>
      <c r="AD96" s="500">
        <f>SUM(AD93:AD95)</f>
        <v>748638.6599999999</v>
      </c>
      <c r="AE96" s="500">
        <f>SUM(AE93:AE95)</f>
        <v>3</v>
      </c>
      <c r="AF96" s="502" t="s">
        <v>1</v>
      </c>
      <c r="AG96" s="500"/>
      <c r="AH96" s="500">
        <f>SUM(AH93:AH95)</f>
        <v>705713.8</v>
      </c>
      <c r="AI96" s="500">
        <f>SUM(AI93:AI95)</f>
        <v>0</v>
      </c>
      <c r="AJ96" s="500">
        <f>SUM(AJ93:AJ95)</f>
        <v>35285.69</v>
      </c>
      <c r="AK96" s="500">
        <f>SUM(AK93:AK95)</f>
        <v>740999.49</v>
      </c>
      <c r="AL96" s="510"/>
    </row>
    <row r="97" spans="1:38" ht="21" customHeight="1">
      <c r="A97" s="496"/>
      <c r="B97" s="503"/>
      <c r="C97" s="496"/>
      <c r="D97" s="520"/>
      <c r="E97" s="500"/>
      <c r="F97" s="496"/>
      <c r="G97" s="500"/>
      <c r="H97" s="508"/>
      <c r="I97" s="508"/>
      <c r="J97" s="508"/>
      <c r="K97" s="508"/>
      <c r="L97" s="500"/>
      <c r="M97" s="496"/>
      <c r="N97" s="500"/>
      <c r="O97" s="508"/>
      <c r="P97" s="508"/>
      <c r="Q97" s="508"/>
      <c r="R97" s="508"/>
      <c r="S97" s="570"/>
      <c r="T97" s="570"/>
      <c r="U97" s="570"/>
      <c r="V97" s="570"/>
      <c r="W97" s="570"/>
      <c r="X97" s="500"/>
      <c r="Y97" s="496"/>
      <c r="Z97" s="500"/>
      <c r="AA97" s="508"/>
      <c r="AB97" s="508"/>
      <c r="AC97" s="508"/>
      <c r="AD97" s="508"/>
      <c r="AE97" s="500"/>
      <c r="AF97" s="496"/>
      <c r="AG97" s="500"/>
      <c r="AH97" s="508"/>
      <c r="AI97" s="508"/>
      <c r="AJ97" s="508"/>
      <c r="AK97" s="508"/>
      <c r="AL97" s="510"/>
    </row>
    <row r="98" spans="1:38" ht="21" customHeight="1">
      <c r="A98" s="496"/>
      <c r="B98" s="587" t="s">
        <v>651</v>
      </c>
      <c r="C98" s="502"/>
      <c r="D98" s="521"/>
      <c r="E98" s="500"/>
      <c r="F98" s="502"/>
      <c r="G98" s="500"/>
      <c r="H98" s="508"/>
      <c r="I98" s="508"/>
      <c r="J98" s="508"/>
      <c r="K98" s="508"/>
      <c r="L98" s="500"/>
      <c r="M98" s="502"/>
      <c r="N98" s="500"/>
      <c r="O98" s="508"/>
      <c r="P98" s="508"/>
      <c r="Q98" s="508"/>
      <c r="R98" s="508"/>
      <c r="S98" s="570"/>
      <c r="T98" s="570"/>
      <c r="U98" s="570"/>
      <c r="V98" s="570"/>
      <c r="W98" s="570"/>
      <c r="X98" s="500"/>
      <c r="Y98" s="502"/>
      <c r="Z98" s="500"/>
      <c r="AA98" s="508"/>
      <c r="AB98" s="508"/>
      <c r="AC98" s="508"/>
      <c r="AD98" s="508"/>
      <c r="AE98" s="500"/>
      <c r="AF98" s="502"/>
      <c r="AG98" s="500"/>
      <c r="AH98" s="508"/>
      <c r="AI98" s="508"/>
      <c r="AJ98" s="508"/>
      <c r="AK98" s="508"/>
      <c r="AL98" s="510"/>
    </row>
    <row r="99" spans="1:38" ht="21" customHeight="1">
      <c r="A99" s="496">
        <v>1</v>
      </c>
      <c r="B99" s="500" t="s">
        <v>652</v>
      </c>
      <c r="C99" s="513" t="s">
        <v>653</v>
      </c>
      <c r="D99" s="520" t="s">
        <v>654</v>
      </c>
      <c r="E99" s="500">
        <v>1</v>
      </c>
      <c r="F99" s="496" t="s">
        <v>655</v>
      </c>
      <c r="G99" s="500">
        <v>5.01</v>
      </c>
      <c r="H99" s="498">
        <f>G99*66140</f>
        <v>331361.39999999997</v>
      </c>
      <c r="I99" s="502"/>
      <c r="J99" s="508">
        <f>H99*0.05</f>
        <v>16568.07</v>
      </c>
      <c r="K99" s="570">
        <f>H99+I99+J99</f>
        <v>347929.47</v>
      </c>
      <c r="L99" s="500">
        <v>1</v>
      </c>
      <c r="M99" s="496" t="s">
        <v>656</v>
      </c>
      <c r="N99" s="500">
        <v>5.01</v>
      </c>
      <c r="O99" s="498">
        <f>N99*66140</f>
        <v>331361.39999999997</v>
      </c>
      <c r="P99" s="502"/>
      <c r="Q99" s="508">
        <f>O99*0.05</f>
        <v>16568.07</v>
      </c>
      <c r="R99" s="570">
        <f>O99+P99+Q99</f>
        <v>347929.47</v>
      </c>
      <c r="S99" s="570">
        <f t="shared" si="32"/>
        <v>0</v>
      </c>
      <c r="T99" s="570">
        <f t="shared" si="33"/>
        <v>0</v>
      </c>
      <c r="U99" s="570">
        <f t="shared" si="33"/>
        <v>0</v>
      </c>
      <c r="V99" s="570">
        <f t="shared" si="33"/>
        <v>0</v>
      </c>
      <c r="W99" s="570">
        <f t="shared" si="34"/>
        <v>0</v>
      </c>
      <c r="X99" s="500">
        <v>1</v>
      </c>
      <c r="Y99" s="496" t="s">
        <v>657</v>
      </c>
      <c r="Z99" s="500">
        <v>5.17</v>
      </c>
      <c r="AA99" s="498">
        <f>Z99*66140</f>
        <v>341943.8</v>
      </c>
      <c r="AB99" s="502"/>
      <c r="AC99" s="508">
        <f>AA99*0.05</f>
        <v>17097.19</v>
      </c>
      <c r="AD99" s="570">
        <f>AA99+AB99+AC99</f>
        <v>359040.99</v>
      </c>
      <c r="AE99" s="500">
        <v>1</v>
      </c>
      <c r="AF99" s="496" t="s">
        <v>658</v>
      </c>
      <c r="AG99" s="500">
        <v>5.17</v>
      </c>
      <c r="AH99" s="498">
        <f>AG99*66140</f>
        <v>341943.8</v>
      </c>
      <c r="AI99" s="502"/>
      <c r="AJ99" s="508">
        <f>AH99*0.05</f>
        <v>17097.19</v>
      </c>
      <c r="AK99" s="570">
        <f>AH99+AI99+AJ99</f>
        <v>359040.99</v>
      </c>
      <c r="AL99" s="510"/>
    </row>
    <row r="100" spans="1:38" ht="21" customHeight="1">
      <c r="A100" s="496">
        <v>2</v>
      </c>
      <c r="B100" s="500" t="s">
        <v>659</v>
      </c>
      <c r="C100" s="513" t="s">
        <v>660</v>
      </c>
      <c r="D100" s="520" t="s">
        <v>661</v>
      </c>
      <c r="E100" s="500">
        <v>1</v>
      </c>
      <c r="F100" s="509" t="s">
        <v>662</v>
      </c>
      <c r="G100" s="500">
        <v>3.42</v>
      </c>
      <c r="H100" s="498">
        <f>G100*66140</f>
        <v>226198.8</v>
      </c>
      <c r="I100" s="502"/>
      <c r="J100" s="508"/>
      <c r="K100" s="570">
        <f>H100+I100+J100</f>
        <v>226198.8</v>
      </c>
      <c r="L100" s="500">
        <v>1</v>
      </c>
      <c r="M100" s="509" t="s">
        <v>663</v>
      </c>
      <c r="N100" s="500">
        <v>3.31</v>
      </c>
      <c r="O100" s="498">
        <f>N100*66140</f>
        <v>218923.4</v>
      </c>
      <c r="P100" s="502"/>
      <c r="Q100" s="508"/>
      <c r="R100" s="570">
        <f>O100+P100+Q100</f>
        <v>218923.4</v>
      </c>
      <c r="S100" s="570">
        <f t="shared" si="32"/>
        <v>0</v>
      </c>
      <c r="T100" s="570">
        <f t="shared" si="33"/>
        <v>7275.399999999994</v>
      </c>
      <c r="U100" s="570">
        <f t="shared" si="33"/>
        <v>0</v>
      </c>
      <c r="V100" s="570">
        <f t="shared" si="33"/>
        <v>0</v>
      </c>
      <c r="W100" s="570">
        <f t="shared" si="34"/>
        <v>7275.399999999994</v>
      </c>
      <c r="X100" s="500">
        <v>1</v>
      </c>
      <c r="Y100" s="509" t="s">
        <v>664</v>
      </c>
      <c r="Z100" s="500">
        <v>3.53</v>
      </c>
      <c r="AA100" s="498">
        <f>Z100*66140</f>
        <v>233474.19999999998</v>
      </c>
      <c r="AB100" s="502"/>
      <c r="AC100" s="508">
        <f>AA100*0.05</f>
        <v>11673.71</v>
      </c>
      <c r="AD100" s="570">
        <f>AA100+AB100+AC100</f>
        <v>245147.90999999997</v>
      </c>
      <c r="AE100" s="500">
        <v>1</v>
      </c>
      <c r="AF100" s="509" t="s">
        <v>457</v>
      </c>
      <c r="AG100" s="500">
        <v>3.64</v>
      </c>
      <c r="AH100" s="498">
        <f>AG100*66140</f>
        <v>240749.6</v>
      </c>
      <c r="AI100" s="502"/>
      <c r="AJ100" s="508">
        <f>AH100*0.05</f>
        <v>12037.480000000001</v>
      </c>
      <c r="AK100" s="570">
        <f>AH100+AI100+AJ100</f>
        <v>252787.08000000002</v>
      </c>
      <c r="AL100" s="510"/>
    </row>
    <row r="101" spans="1:38" ht="21" customHeight="1">
      <c r="A101" s="496"/>
      <c r="B101" s="583" t="s">
        <v>181</v>
      </c>
      <c r="C101" s="502" t="s">
        <v>1</v>
      </c>
      <c r="D101" s="521" t="s">
        <v>1</v>
      </c>
      <c r="E101" s="500">
        <f>SUM(E99:E100)</f>
        <v>2</v>
      </c>
      <c r="F101" s="502" t="s">
        <v>1</v>
      </c>
      <c r="G101" s="500"/>
      <c r="H101" s="500">
        <f>SUM(H99:H100)</f>
        <v>557560.2</v>
      </c>
      <c r="I101" s="500">
        <f>SUM(I99:I100)</f>
        <v>0</v>
      </c>
      <c r="J101" s="500">
        <f>SUM(J99:J100)</f>
        <v>16568.07</v>
      </c>
      <c r="K101" s="500">
        <f>SUM(K99:K100)</f>
        <v>574128.27</v>
      </c>
      <c r="L101" s="500">
        <f>SUM(L99:L100)</f>
        <v>2</v>
      </c>
      <c r="M101" s="502" t="s">
        <v>1</v>
      </c>
      <c r="N101" s="500"/>
      <c r="O101" s="500">
        <f>SUM(O99:O100)</f>
        <v>550284.7999999999</v>
      </c>
      <c r="P101" s="500">
        <f aca="true" t="shared" si="39" ref="P101:W101">SUM(P99:P100)</f>
        <v>0</v>
      </c>
      <c r="Q101" s="500">
        <f t="shared" si="39"/>
        <v>16568.07</v>
      </c>
      <c r="R101" s="500">
        <f t="shared" si="39"/>
        <v>566852.87</v>
      </c>
      <c r="S101" s="500">
        <f t="shared" si="39"/>
        <v>0</v>
      </c>
      <c r="T101" s="500">
        <f t="shared" si="39"/>
        <v>7275.399999999994</v>
      </c>
      <c r="U101" s="500">
        <f t="shared" si="39"/>
        <v>0</v>
      </c>
      <c r="V101" s="500">
        <f t="shared" si="39"/>
        <v>0</v>
      </c>
      <c r="W101" s="500">
        <f t="shared" si="39"/>
        <v>7275.399999999994</v>
      </c>
      <c r="X101" s="500">
        <f>SUM(X99:X100)</f>
        <v>2</v>
      </c>
      <c r="Y101" s="502" t="s">
        <v>1</v>
      </c>
      <c r="Z101" s="500"/>
      <c r="AA101" s="500">
        <f>SUM(AA99:AA100)</f>
        <v>575418</v>
      </c>
      <c r="AB101" s="500">
        <f>SUM(AB99:AB100)</f>
        <v>0</v>
      </c>
      <c r="AC101" s="500">
        <f>SUM(AC99:AC100)</f>
        <v>28770.899999999998</v>
      </c>
      <c r="AD101" s="500">
        <f>SUM(AD99:AD100)</f>
        <v>604188.8999999999</v>
      </c>
      <c r="AE101" s="500">
        <f>SUM(AE99:AE100)</f>
        <v>2</v>
      </c>
      <c r="AF101" s="502" t="s">
        <v>1</v>
      </c>
      <c r="AG101" s="500"/>
      <c r="AH101" s="500">
        <f>SUM(AH99:AH100)</f>
        <v>582693.4</v>
      </c>
      <c r="AI101" s="500">
        <f>SUM(AI99:AI100)</f>
        <v>0</v>
      </c>
      <c r="AJ101" s="500">
        <f>SUM(AJ99:AJ100)</f>
        <v>29134.67</v>
      </c>
      <c r="AK101" s="500">
        <f>SUM(AK99:AK100)</f>
        <v>611828.0700000001</v>
      </c>
      <c r="AL101" s="510"/>
    </row>
    <row r="102" spans="1:38" ht="21" customHeight="1">
      <c r="A102" s="496"/>
      <c r="B102" s="503"/>
      <c r="C102" s="496"/>
      <c r="D102" s="520"/>
      <c r="E102" s="500"/>
      <c r="F102" s="496"/>
      <c r="G102" s="500"/>
      <c r="H102" s="508"/>
      <c r="I102" s="508"/>
      <c r="J102" s="508"/>
      <c r="K102" s="508"/>
      <c r="L102" s="500"/>
      <c r="M102" s="496"/>
      <c r="N102" s="500"/>
      <c r="O102" s="508"/>
      <c r="P102" s="508"/>
      <c r="Q102" s="508"/>
      <c r="R102" s="508"/>
      <c r="S102" s="570"/>
      <c r="T102" s="570"/>
      <c r="U102" s="570"/>
      <c r="V102" s="570"/>
      <c r="W102" s="570"/>
      <c r="X102" s="500"/>
      <c r="Y102" s="496"/>
      <c r="Z102" s="500"/>
      <c r="AA102" s="508"/>
      <c r="AB102" s="508"/>
      <c r="AC102" s="508"/>
      <c r="AD102" s="508"/>
      <c r="AE102" s="500"/>
      <c r="AF102" s="496"/>
      <c r="AG102" s="500"/>
      <c r="AH102" s="508"/>
      <c r="AI102" s="508"/>
      <c r="AJ102" s="508"/>
      <c r="AK102" s="508"/>
      <c r="AL102" s="510"/>
    </row>
    <row r="103" spans="1:38" ht="30.75" customHeight="1">
      <c r="A103" s="496"/>
      <c r="B103" s="584" t="s">
        <v>665</v>
      </c>
      <c r="C103" s="496"/>
      <c r="D103" s="522"/>
      <c r="E103" s="500"/>
      <c r="F103" s="496"/>
      <c r="G103" s="500"/>
      <c r="H103" s="508"/>
      <c r="I103" s="508"/>
      <c r="J103" s="508"/>
      <c r="K103" s="508"/>
      <c r="L103" s="500"/>
      <c r="M103" s="496"/>
      <c r="N103" s="500"/>
      <c r="O103" s="508"/>
      <c r="P103" s="508"/>
      <c r="Q103" s="508"/>
      <c r="R103" s="508"/>
      <c r="S103" s="570"/>
      <c r="T103" s="570"/>
      <c r="U103" s="570"/>
      <c r="V103" s="570"/>
      <c r="W103" s="570"/>
      <c r="X103" s="500"/>
      <c r="Y103" s="496"/>
      <c r="Z103" s="500"/>
      <c r="AA103" s="508"/>
      <c r="AB103" s="508"/>
      <c r="AC103" s="508"/>
      <c r="AD103" s="508"/>
      <c r="AE103" s="500"/>
      <c r="AF103" s="496"/>
      <c r="AG103" s="500"/>
      <c r="AH103" s="508"/>
      <c r="AI103" s="508"/>
      <c r="AJ103" s="508"/>
      <c r="AK103" s="508"/>
      <c r="AL103" s="510"/>
    </row>
    <row r="104" spans="1:38" ht="21" customHeight="1">
      <c r="A104" s="496">
        <v>1</v>
      </c>
      <c r="B104" s="585" t="s">
        <v>666</v>
      </c>
      <c r="C104" s="515" t="s">
        <v>667</v>
      </c>
      <c r="D104" s="520" t="s">
        <v>668</v>
      </c>
      <c r="E104" s="500">
        <v>1</v>
      </c>
      <c r="F104" s="496" t="s">
        <v>669</v>
      </c>
      <c r="G104" s="500">
        <v>4.55</v>
      </c>
      <c r="H104" s="498">
        <f aca="true" t="shared" si="40" ref="H104:H109">G104*66140</f>
        <v>300937</v>
      </c>
      <c r="I104" s="502"/>
      <c r="J104" s="508">
        <f aca="true" t="shared" si="41" ref="J104:J109">H104*0.05</f>
        <v>15046.85</v>
      </c>
      <c r="K104" s="570">
        <f aca="true" t="shared" si="42" ref="K104:K109">H104+I104+J104</f>
        <v>315983.85</v>
      </c>
      <c r="L104" s="500">
        <v>1</v>
      </c>
      <c r="M104" s="496" t="s">
        <v>670</v>
      </c>
      <c r="N104" s="500">
        <v>4.41</v>
      </c>
      <c r="O104" s="498">
        <f aca="true" t="shared" si="43" ref="O104:O109">N104*66140</f>
        <v>291677.4</v>
      </c>
      <c r="P104" s="502"/>
      <c r="Q104" s="508">
        <f>O104*0.05</f>
        <v>14583.870000000003</v>
      </c>
      <c r="R104" s="570">
        <f aca="true" t="shared" si="44" ref="R104:R109">O104+P104+Q104</f>
        <v>306261.27</v>
      </c>
      <c r="S104" s="570">
        <f t="shared" si="32"/>
        <v>0</v>
      </c>
      <c r="T104" s="570">
        <f t="shared" si="33"/>
        <v>9259.599999999977</v>
      </c>
      <c r="U104" s="570">
        <f t="shared" si="33"/>
        <v>0</v>
      </c>
      <c r="V104" s="570">
        <f t="shared" si="33"/>
        <v>462.97999999999774</v>
      </c>
      <c r="W104" s="570">
        <f t="shared" si="34"/>
        <v>9722.579999999974</v>
      </c>
      <c r="X104" s="500">
        <v>1</v>
      </c>
      <c r="Y104" s="496" t="s">
        <v>671</v>
      </c>
      <c r="Z104" s="500">
        <v>4.55</v>
      </c>
      <c r="AA104" s="498">
        <f aca="true" t="shared" si="45" ref="AA104:AA109">Z104*66140</f>
        <v>300937</v>
      </c>
      <c r="AB104" s="502"/>
      <c r="AC104" s="508">
        <f aca="true" t="shared" si="46" ref="AC104:AC109">AA104*0.05</f>
        <v>15046.85</v>
      </c>
      <c r="AD104" s="570">
        <f aca="true" t="shared" si="47" ref="AD104:AD109">AA104+AB104+AC104</f>
        <v>315983.85</v>
      </c>
      <c r="AE104" s="500">
        <v>1</v>
      </c>
      <c r="AF104" s="496" t="s">
        <v>672</v>
      </c>
      <c r="AG104" s="500">
        <v>4.7</v>
      </c>
      <c r="AH104" s="498">
        <f aca="true" t="shared" si="48" ref="AH104:AH109">AG104*66140</f>
        <v>310858</v>
      </c>
      <c r="AI104" s="502"/>
      <c r="AJ104" s="508">
        <f aca="true" t="shared" si="49" ref="AJ104:AJ109">AH104*0.05</f>
        <v>15542.900000000001</v>
      </c>
      <c r="AK104" s="570">
        <f aca="true" t="shared" si="50" ref="AK104:AK109">AH104+AI104+AJ104</f>
        <v>326400.9</v>
      </c>
      <c r="AL104" s="510"/>
    </row>
    <row r="105" spans="1:38" ht="21" customHeight="1">
      <c r="A105" s="496">
        <v>2</v>
      </c>
      <c r="B105" s="585" t="s">
        <v>673</v>
      </c>
      <c r="C105" s="515" t="s">
        <v>674</v>
      </c>
      <c r="D105" s="520" t="s">
        <v>675</v>
      </c>
      <c r="E105" s="500">
        <v>1</v>
      </c>
      <c r="F105" s="496" t="s">
        <v>676</v>
      </c>
      <c r="G105" s="500">
        <v>3.42</v>
      </c>
      <c r="H105" s="498">
        <f t="shared" si="40"/>
        <v>226198.8</v>
      </c>
      <c r="I105" s="502"/>
      <c r="J105" s="508">
        <f t="shared" si="41"/>
        <v>11309.94</v>
      </c>
      <c r="K105" s="570">
        <f t="shared" si="42"/>
        <v>237508.74</v>
      </c>
      <c r="L105" s="500">
        <v>1</v>
      </c>
      <c r="M105" s="496" t="s">
        <v>677</v>
      </c>
      <c r="N105" s="500">
        <v>3.42</v>
      </c>
      <c r="O105" s="498">
        <f t="shared" si="43"/>
        <v>226198.8</v>
      </c>
      <c r="P105" s="502"/>
      <c r="Q105" s="508">
        <f>O105*0.05</f>
        <v>11309.94</v>
      </c>
      <c r="R105" s="570">
        <f t="shared" si="44"/>
        <v>237508.74</v>
      </c>
      <c r="S105" s="570">
        <f t="shared" si="32"/>
        <v>0</v>
      </c>
      <c r="T105" s="570">
        <f t="shared" si="33"/>
        <v>0</v>
      </c>
      <c r="U105" s="570">
        <f t="shared" si="33"/>
        <v>0</v>
      </c>
      <c r="V105" s="570">
        <f t="shared" si="33"/>
        <v>0</v>
      </c>
      <c r="W105" s="570">
        <f t="shared" si="34"/>
        <v>0</v>
      </c>
      <c r="X105" s="500">
        <v>1</v>
      </c>
      <c r="Y105" s="496" t="s">
        <v>678</v>
      </c>
      <c r="Z105" s="500">
        <v>3.53</v>
      </c>
      <c r="AA105" s="498">
        <f t="shared" si="45"/>
        <v>233474.19999999998</v>
      </c>
      <c r="AB105" s="502"/>
      <c r="AC105" s="508">
        <f t="shared" si="46"/>
        <v>11673.71</v>
      </c>
      <c r="AD105" s="570">
        <f t="shared" si="47"/>
        <v>245147.90999999997</v>
      </c>
      <c r="AE105" s="500">
        <v>1</v>
      </c>
      <c r="AF105" s="496" t="s">
        <v>679</v>
      </c>
      <c r="AG105" s="500">
        <v>3.53</v>
      </c>
      <c r="AH105" s="498">
        <f t="shared" si="48"/>
        <v>233474.19999999998</v>
      </c>
      <c r="AI105" s="502"/>
      <c r="AJ105" s="508">
        <f t="shared" si="49"/>
        <v>11673.71</v>
      </c>
      <c r="AK105" s="570">
        <f t="shared" si="50"/>
        <v>245147.90999999997</v>
      </c>
      <c r="AL105" s="510"/>
    </row>
    <row r="106" spans="1:38" ht="21" customHeight="1">
      <c r="A106" s="496">
        <v>3</v>
      </c>
      <c r="B106" s="585" t="s">
        <v>680</v>
      </c>
      <c r="C106" s="515" t="s">
        <v>674</v>
      </c>
      <c r="D106" s="520" t="s">
        <v>681</v>
      </c>
      <c r="E106" s="500">
        <v>1</v>
      </c>
      <c r="F106" s="496" t="s">
        <v>682</v>
      </c>
      <c r="G106" s="500">
        <v>3.31</v>
      </c>
      <c r="H106" s="498">
        <f t="shared" si="40"/>
        <v>218923.4</v>
      </c>
      <c r="I106" s="502"/>
      <c r="J106" s="508">
        <f t="shared" si="41"/>
        <v>10946.17</v>
      </c>
      <c r="K106" s="570">
        <f t="shared" si="42"/>
        <v>229869.57</v>
      </c>
      <c r="L106" s="500">
        <v>1</v>
      </c>
      <c r="M106" s="496" t="s">
        <v>683</v>
      </c>
      <c r="N106" s="500">
        <v>3.31</v>
      </c>
      <c r="O106" s="498">
        <f t="shared" si="43"/>
        <v>218923.4</v>
      </c>
      <c r="P106" s="502"/>
      <c r="Q106" s="508">
        <f>O106*0.05</f>
        <v>10946.17</v>
      </c>
      <c r="R106" s="570">
        <f t="shared" si="44"/>
        <v>229869.57</v>
      </c>
      <c r="S106" s="570">
        <f t="shared" si="32"/>
        <v>0</v>
      </c>
      <c r="T106" s="570">
        <f t="shared" si="33"/>
        <v>0</v>
      </c>
      <c r="U106" s="570">
        <f t="shared" si="33"/>
        <v>0</v>
      </c>
      <c r="V106" s="570">
        <f t="shared" si="33"/>
        <v>0</v>
      </c>
      <c r="W106" s="570">
        <f t="shared" si="34"/>
        <v>0</v>
      </c>
      <c r="X106" s="500">
        <v>1</v>
      </c>
      <c r="Y106" s="496" t="s">
        <v>684</v>
      </c>
      <c r="Z106" s="500">
        <v>3.31</v>
      </c>
      <c r="AA106" s="498">
        <f t="shared" si="45"/>
        <v>218923.4</v>
      </c>
      <c r="AB106" s="502"/>
      <c r="AC106" s="508">
        <f t="shared" si="46"/>
        <v>10946.17</v>
      </c>
      <c r="AD106" s="570">
        <f t="shared" si="47"/>
        <v>229869.57</v>
      </c>
      <c r="AE106" s="500">
        <v>1</v>
      </c>
      <c r="AF106" s="496" t="s">
        <v>685</v>
      </c>
      <c r="AG106" s="500">
        <v>3.42</v>
      </c>
      <c r="AH106" s="498">
        <f t="shared" si="48"/>
        <v>226198.8</v>
      </c>
      <c r="AI106" s="502"/>
      <c r="AJ106" s="508">
        <f t="shared" si="49"/>
        <v>11309.94</v>
      </c>
      <c r="AK106" s="570">
        <f t="shared" si="50"/>
        <v>237508.74</v>
      </c>
      <c r="AL106" s="510"/>
    </row>
    <row r="107" spans="1:38" ht="21" customHeight="1">
      <c r="A107" s="496">
        <v>4</v>
      </c>
      <c r="B107" s="503" t="s">
        <v>686</v>
      </c>
      <c r="C107" s="515" t="s">
        <v>687</v>
      </c>
      <c r="D107" s="520" t="s">
        <v>688</v>
      </c>
      <c r="E107" s="500">
        <v>1</v>
      </c>
      <c r="F107" s="496" t="s">
        <v>689</v>
      </c>
      <c r="G107" s="500">
        <v>2.42</v>
      </c>
      <c r="H107" s="498">
        <f t="shared" si="40"/>
        <v>160058.8</v>
      </c>
      <c r="I107" s="502"/>
      <c r="J107" s="508">
        <f t="shared" si="41"/>
        <v>8002.94</v>
      </c>
      <c r="K107" s="570">
        <f t="shared" si="42"/>
        <v>168061.74</v>
      </c>
      <c r="L107" s="500">
        <v>1</v>
      </c>
      <c r="M107" s="496" t="s">
        <v>690</v>
      </c>
      <c r="N107" s="500">
        <v>2.35</v>
      </c>
      <c r="O107" s="498">
        <f t="shared" si="43"/>
        <v>155429</v>
      </c>
      <c r="P107" s="502"/>
      <c r="Q107" s="508"/>
      <c r="R107" s="570">
        <f t="shared" si="44"/>
        <v>155429</v>
      </c>
      <c r="S107" s="570">
        <f t="shared" si="32"/>
        <v>0</v>
      </c>
      <c r="T107" s="570">
        <f t="shared" si="33"/>
        <v>4629.799999999988</v>
      </c>
      <c r="U107" s="570">
        <f t="shared" si="33"/>
        <v>0</v>
      </c>
      <c r="V107" s="570">
        <f t="shared" si="33"/>
        <v>8002.94</v>
      </c>
      <c r="W107" s="570">
        <f t="shared" si="34"/>
        <v>12632.739999999987</v>
      </c>
      <c r="X107" s="500">
        <v>1</v>
      </c>
      <c r="Y107" s="496" t="s">
        <v>691</v>
      </c>
      <c r="Z107" s="500">
        <v>2.42</v>
      </c>
      <c r="AA107" s="498">
        <f t="shared" si="45"/>
        <v>160058.8</v>
      </c>
      <c r="AB107" s="502"/>
      <c r="AC107" s="508">
        <f t="shared" si="46"/>
        <v>8002.94</v>
      </c>
      <c r="AD107" s="570">
        <f t="shared" si="47"/>
        <v>168061.74</v>
      </c>
      <c r="AE107" s="500">
        <v>1</v>
      </c>
      <c r="AF107" s="496" t="s">
        <v>692</v>
      </c>
      <c r="AG107" s="500">
        <v>2.42</v>
      </c>
      <c r="AH107" s="498">
        <f t="shared" si="48"/>
        <v>160058.8</v>
      </c>
      <c r="AI107" s="502"/>
      <c r="AJ107" s="508">
        <f t="shared" si="49"/>
        <v>8002.94</v>
      </c>
      <c r="AK107" s="570">
        <f t="shared" si="50"/>
        <v>168061.74</v>
      </c>
      <c r="AL107" s="510"/>
    </row>
    <row r="108" spans="1:38" ht="21" customHeight="1">
      <c r="A108" s="496">
        <v>5</v>
      </c>
      <c r="B108" s="585"/>
      <c r="C108" s="515" t="s">
        <v>687</v>
      </c>
      <c r="D108" s="520" t="s">
        <v>693</v>
      </c>
      <c r="E108" s="500">
        <v>1</v>
      </c>
      <c r="F108" s="533" t="s">
        <v>632</v>
      </c>
      <c r="G108" s="500">
        <v>2.02</v>
      </c>
      <c r="H108" s="498">
        <f t="shared" si="40"/>
        <v>133602.8</v>
      </c>
      <c r="I108" s="508"/>
      <c r="J108" s="508">
        <f t="shared" si="41"/>
        <v>6680.139999999999</v>
      </c>
      <c r="K108" s="508">
        <f t="shared" si="42"/>
        <v>140282.94</v>
      </c>
      <c r="L108" s="500">
        <v>1</v>
      </c>
      <c r="M108" s="509" t="s">
        <v>609</v>
      </c>
      <c r="N108" s="500">
        <v>1.96</v>
      </c>
      <c r="O108" s="498">
        <f t="shared" si="43"/>
        <v>129634.4</v>
      </c>
      <c r="P108" s="508"/>
      <c r="Q108" s="508"/>
      <c r="R108" s="508">
        <f t="shared" si="44"/>
        <v>129634.4</v>
      </c>
      <c r="S108" s="570">
        <f t="shared" si="32"/>
        <v>0</v>
      </c>
      <c r="T108" s="570">
        <f t="shared" si="33"/>
        <v>3968.399999999994</v>
      </c>
      <c r="U108" s="570">
        <f t="shared" si="33"/>
        <v>0</v>
      </c>
      <c r="V108" s="570">
        <f t="shared" si="33"/>
        <v>6680.139999999999</v>
      </c>
      <c r="W108" s="570">
        <f t="shared" si="34"/>
        <v>10648.539999999994</v>
      </c>
      <c r="X108" s="500">
        <v>1</v>
      </c>
      <c r="Y108" s="509" t="s">
        <v>535</v>
      </c>
      <c r="Z108" s="500">
        <v>2.08</v>
      </c>
      <c r="AA108" s="498">
        <f t="shared" si="45"/>
        <v>137571.2</v>
      </c>
      <c r="AB108" s="508"/>
      <c r="AC108" s="508">
        <f t="shared" si="46"/>
        <v>6878.560000000001</v>
      </c>
      <c r="AD108" s="508">
        <f t="shared" si="47"/>
        <v>144449.76</v>
      </c>
      <c r="AE108" s="500">
        <v>1</v>
      </c>
      <c r="AF108" s="509" t="s">
        <v>536</v>
      </c>
      <c r="AG108" s="500">
        <v>2.15</v>
      </c>
      <c r="AH108" s="498">
        <f t="shared" si="48"/>
        <v>142201</v>
      </c>
      <c r="AI108" s="508"/>
      <c r="AJ108" s="508">
        <f t="shared" si="49"/>
        <v>7110.05</v>
      </c>
      <c r="AK108" s="508">
        <f t="shared" si="50"/>
        <v>149311.05</v>
      </c>
      <c r="AL108" s="510"/>
    </row>
    <row r="109" spans="1:38" ht="21" customHeight="1">
      <c r="A109" s="496">
        <v>6</v>
      </c>
      <c r="B109" s="503" t="s">
        <v>694</v>
      </c>
      <c r="C109" s="515" t="s">
        <v>695</v>
      </c>
      <c r="D109" s="520" t="s">
        <v>696</v>
      </c>
      <c r="E109" s="500">
        <v>1</v>
      </c>
      <c r="F109" s="496" t="s">
        <v>697</v>
      </c>
      <c r="G109" s="500">
        <v>2.28</v>
      </c>
      <c r="H109" s="498">
        <f t="shared" si="40"/>
        <v>150799.19999999998</v>
      </c>
      <c r="I109" s="508"/>
      <c r="J109" s="508">
        <f t="shared" si="41"/>
        <v>7539.959999999999</v>
      </c>
      <c r="K109" s="508">
        <f t="shared" si="42"/>
        <v>158339.15999999997</v>
      </c>
      <c r="L109" s="500">
        <v>1</v>
      </c>
      <c r="M109" s="496" t="s">
        <v>698</v>
      </c>
      <c r="N109" s="500">
        <v>2.21</v>
      </c>
      <c r="O109" s="498">
        <f t="shared" si="43"/>
        <v>146169.4</v>
      </c>
      <c r="P109" s="508"/>
      <c r="Q109" s="508"/>
      <c r="R109" s="508">
        <f t="shared" si="44"/>
        <v>146169.4</v>
      </c>
      <c r="S109" s="570">
        <f t="shared" si="32"/>
        <v>0</v>
      </c>
      <c r="T109" s="570">
        <f t="shared" si="33"/>
        <v>4629.799999999988</v>
      </c>
      <c r="U109" s="570">
        <f t="shared" si="33"/>
        <v>0</v>
      </c>
      <c r="V109" s="570">
        <f t="shared" si="33"/>
        <v>7539.959999999999</v>
      </c>
      <c r="W109" s="570">
        <f t="shared" si="34"/>
        <v>12169.759999999987</v>
      </c>
      <c r="X109" s="500">
        <v>1</v>
      </c>
      <c r="Y109" s="496" t="s">
        <v>699</v>
      </c>
      <c r="Z109" s="500">
        <v>2.28</v>
      </c>
      <c r="AA109" s="498">
        <f t="shared" si="45"/>
        <v>150799.19999999998</v>
      </c>
      <c r="AB109" s="508"/>
      <c r="AC109" s="508">
        <f t="shared" si="46"/>
        <v>7539.959999999999</v>
      </c>
      <c r="AD109" s="508">
        <f t="shared" si="47"/>
        <v>158339.15999999997</v>
      </c>
      <c r="AE109" s="500">
        <v>1</v>
      </c>
      <c r="AF109" s="496" t="s">
        <v>700</v>
      </c>
      <c r="AG109" s="500">
        <v>2.35</v>
      </c>
      <c r="AH109" s="498">
        <f t="shared" si="48"/>
        <v>155429</v>
      </c>
      <c r="AI109" s="508"/>
      <c r="AJ109" s="508">
        <f t="shared" si="49"/>
        <v>7771.450000000001</v>
      </c>
      <c r="AK109" s="508">
        <f t="shared" si="50"/>
        <v>163200.45</v>
      </c>
      <c r="AL109" s="510"/>
    </row>
    <row r="110" spans="1:38" ht="21" customHeight="1">
      <c r="A110" s="496"/>
      <c r="B110" s="583" t="s">
        <v>181</v>
      </c>
      <c r="C110" s="502" t="s">
        <v>1</v>
      </c>
      <c r="D110" s="521" t="s">
        <v>1</v>
      </c>
      <c r="E110" s="500">
        <f>SUM(E104:E109)</f>
        <v>6</v>
      </c>
      <c r="F110" s="502" t="s">
        <v>1</v>
      </c>
      <c r="G110" s="500"/>
      <c r="H110" s="500">
        <f>SUM(H104:H109)</f>
        <v>1190520</v>
      </c>
      <c r="I110" s="500">
        <f>SUM(I104:I109)</f>
        <v>0</v>
      </c>
      <c r="J110" s="500">
        <f>SUM(J104:J109)</f>
        <v>59526</v>
      </c>
      <c r="K110" s="500">
        <f>SUM(K104:K109)</f>
        <v>1250045.9999999998</v>
      </c>
      <c r="L110" s="500">
        <f>SUM(L104:L109)</f>
        <v>6</v>
      </c>
      <c r="M110" s="502" t="s">
        <v>1</v>
      </c>
      <c r="N110" s="500"/>
      <c r="O110" s="500">
        <f>SUM(O104:O109)</f>
        <v>1168032.4</v>
      </c>
      <c r="P110" s="500">
        <f aca="true" t="shared" si="51" ref="P110:W110">SUM(P104:P109)</f>
        <v>0</v>
      </c>
      <c r="Q110" s="500">
        <f t="shared" si="51"/>
        <v>36839.98</v>
      </c>
      <c r="R110" s="500">
        <f t="shared" si="51"/>
        <v>1204872.38</v>
      </c>
      <c r="S110" s="500">
        <f t="shared" si="51"/>
        <v>0</v>
      </c>
      <c r="T110" s="500">
        <f t="shared" si="51"/>
        <v>22487.599999999948</v>
      </c>
      <c r="U110" s="500">
        <f t="shared" si="51"/>
        <v>0</v>
      </c>
      <c r="V110" s="500">
        <f t="shared" si="51"/>
        <v>22686.019999999997</v>
      </c>
      <c r="W110" s="500">
        <f t="shared" si="51"/>
        <v>45173.619999999944</v>
      </c>
      <c r="X110" s="500">
        <f>SUM(X104:X109)</f>
        <v>6</v>
      </c>
      <c r="Y110" s="502" t="s">
        <v>1</v>
      </c>
      <c r="Z110" s="500"/>
      <c r="AA110" s="500">
        <f>SUM(AA104:AA109)</f>
        <v>1201763.7999999998</v>
      </c>
      <c r="AB110" s="500">
        <f>SUM(AB104:AB109)</f>
        <v>0</v>
      </c>
      <c r="AC110" s="500">
        <f>SUM(AC104:AC109)</f>
        <v>60088.189999999995</v>
      </c>
      <c r="AD110" s="500">
        <f>SUM(AD104:AD109)</f>
        <v>1261851.99</v>
      </c>
      <c r="AE110" s="500">
        <f>SUM(AE104:AE109)</f>
        <v>6</v>
      </c>
      <c r="AF110" s="502" t="s">
        <v>1</v>
      </c>
      <c r="AG110" s="500"/>
      <c r="AH110" s="500">
        <f>SUM(AH104:AH109)</f>
        <v>1228219.8</v>
      </c>
      <c r="AI110" s="500">
        <f>SUM(AI104:AI109)</f>
        <v>0</v>
      </c>
      <c r="AJ110" s="500">
        <f>SUM(AJ104:AJ109)</f>
        <v>61410.990000000005</v>
      </c>
      <c r="AK110" s="500">
        <f>SUM(AK104:AK109)</f>
        <v>1289630.79</v>
      </c>
      <c r="AL110" s="510"/>
    </row>
    <row r="111" spans="1:38" ht="21" customHeight="1">
      <c r="A111" s="496"/>
      <c r="B111" s="503"/>
      <c r="C111" s="496"/>
      <c r="D111" s="520"/>
      <c r="E111" s="500"/>
      <c r="F111" s="496"/>
      <c r="G111" s="500"/>
      <c r="H111" s="508"/>
      <c r="I111" s="508"/>
      <c r="J111" s="508"/>
      <c r="K111" s="508"/>
      <c r="L111" s="500"/>
      <c r="M111" s="496"/>
      <c r="N111" s="500"/>
      <c r="O111" s="508"/>
      <c r="P111" s="508"/>
      <c r="Q111" s="508"/>
      <c r="R111" s="508"/>
      <c r="S111" s="570"/>
      <c r="T111" s="570"/>
      <c r="U111" s="570"/>
      <c r="V111" s="570"/>
      <c r="W111" s="570"/>
      <c r="X111" s="500"/>
      <c r="Y111" s="496"/>
      <c r="Z111" s="500"/>
      <c r="AA111" s="508"/>
      <c r="AB111" s="508"/>
      <c r="AC111" s="508"/>
      <c r="AD111" s="508"/>
      <c r="AE111" s="500"/>
      <c r="AF111" s="496"/>
      <c r="AG111" s="500"/>
      <c r="AH111" s="508"/>
      <c r="AI111" s="508"/>
      <c r="AJ111" s="508"/>
      <c r="AK111" s="508"/>
      <c r="AL111" s="510"/>
    </row>
    <row r="112" spans="1:38" ht="27.75" customHeight="1">
      <c r="A112" s="496"/>
      <c r="B112" s="584" t="s">
        <v>701</v>
      </c>
      <c r="C112" s="496"/>
      <c r="D112" s="520"/>
      <c r="E112" s="500"/>
      <c r="F112" s="496"/>
      <c r="G112" s="500"/>
      <c r="H112" s="508"/>
      <c r="I112" s="508"/>
      <c r="J112" s="508"/>
      <c r="K112" s="508"/>
      <c r="L112" s="500"/>
      <c r="M112" s="496"/>
      <c r="N112" s="500"/>
      <c r="O112" s="508"/>
      <c r="P112" s="508"/>
      <c r="Q112" s="508"/>
      <c r="R112" s="508"/>
      <c r="S112" s="570"/>
      <c r="T112" s="570"/>
      <c r="U112" s="570"/>
      <c r="V112" s="570"/>
      <c r="W112" s="570"/>
      <c r="X112" s="500"/>
      <c r="Y112" s="496"/>
      <c r="Z112" s="500"/>
      <c r="AA112" s="508"/>
      <c r="AB112" s="508"/>
      <c r="AC112" s="508"/>
      <c r="AD112" s="508"/>
      <c r="AE112" s="500"/>
      <c r="AF112" s="496"/>
      <c r="AG112" s="500"/>
      <c r="AH112" s="508"/>
      <c r="AI112" s="508"/>
      <c r="AJ112" s="508"/>
      <c r="AK112" s="508"/>
      <c r="AL112" s="510"/>
    </row>
    <row r="113" spans="1:38" ht="30.75" customHeight="1">
      <c r="A113" s="496">
        <v>1</v>
      </c>
      <c r="B113" s="585" t="s">
        <v>702</v>
      </c>
      <c r="C113" s="515" t="s">
        <v>703</v>
      </c>
      <c r="D113" s="520" t="s">
        <v>704</v>
      </c>
      <c r="E113" s="500">
        <v>1</v>
      </c>
      <c r="F113" s="496" t="s">
        <v>705</v>
      </c>
      <c r="G113" s="500">
        <v>5.01</v>
      </c>
      <c r="H113" s="498">
        <f>G113*66140</f>
        <v>331361.39999999997</v>
      </c>
      <c r="I113" s="508"/>
      <c r="J113" s="508">
        <f>H113*0.05</f>
        <v>16568.07</v>
      </c>
      <c r="K113" s="508">
        <f>H113+I113+J113</f>
        <v>347929.47</v>
      </c>
      <c r="L113" s="500">
        <v>1</v>
      </c>
      <c r="M113" s="496" t="s">
        <v>706</v>
      </c>
      <c r="N113" s="500">
        <v>5.01</v>
      </c>
      <c r="O113" s="498">
        <f>N113*66140</f>
        <v>331361.39999999997</v>
      </c>
      <c r="P113" s="508"/>
      <c r="Q113" s="508">
        <f>O113*0.05</f>
        <v>16568.07</v>
      </c>
      <c r="R113" s="508">
        <f>O113+P113+Q113</f>
        <v>347929.47</v>
      </c>
      <c r="S113" s="570">
        <f t="shared" si="32"/>
        <v>0</v>
      </c>
      <c r="T113" s="570">
        <f t="shared" si="33"/>
        <v>0</v>
      </c>
      <c r="U113" s="570">
        <f t="shared" si="33"/>
        <v>0</v>
      </c>
      <c r="V113" s="570">
        <f t="shared" si="33"/>
        <v>0</v>
      </c>
      <c r="W113" s="570">
        <f t="shared" si="34"/>
        <v>0</v>
      </c>
      <c r="X113" s="500">
        <v>1</v>
      </c>
      <c r="Y113" s="496" t="s">
        <v>707</v>
      </c>
      <c r="Z113" s="500">
        <v>5.01</v>
      </c>
      <c r="AA113" s="498">
        <f>Z113*66140</f>
        <v>331361.39999999997</v>
      </c>
      <c r="AB113" s="508"/>
      <c r="AC113" s="508">
        <f>AA113*0.05</f>
        <v>16568.07</v>
      </c>
      <c r="AD113" s="508">
        <f>AA113+AB113+AC113</f>
        <v>347929.47</v>
      </c>
      <c r="AE113" s="500">
        <v>1</v>
      </c>
      <c r="AF113" s="496" t="s">
        <v>708</v>
      </c>
      <c r="AG113" s="500">
        <v>5.17</v>
      </c>
      <c r="AH113" s="498">
        <f>AG113*66140</f>
        <v>341943.8</v>
      </c>
      <c r="AI113" s="508"/>
      <c r="AJ113" s="508">
        <f>AH113*0.05</f>
        <v>17097.19</v>
      </c>
      <c r="AK113" s="508">
        <f>AH113+AI113+AJ113</f>
        <v>359040.99</v>
      </c>
      <c r="AL113" s="510"/>
    </row>
    <row r="114" spans="1:38" ht="21" customHeight="1">
      <c r="A114" s="496"/>
      <c r="B114" s="583" t="s">
        <v>181</v>
      </c>
      <c r="C114" s="502" t="s">
        <v>1</v>
      </c>
      <c r="D114" s="521" t="s">
        <v>1</v>
      </c>
      <c r="E114" s="500">
        <f>SUM(E113)</f>
        <v>1</v>
      </c>
      <c r="F114" s="502" t="s">
        <v>1</v>
      </c>
      <c r="G114" s="500"/>
      <c r="H114" s="500">
        <f>SUM(H113)</f>
        <v>331361.39999999997</v>
      </c>
      <c r="I114" s="500">
        <f>SUM(I113)</f>
        <v>0</v>
      </c>
      <c r="J114" s="500">
        <f>SUM(J113)</f>
        <v>16568.07</v>
      </c>
      <c r="K114" s="500">
        <f>SUM(K113)</f>
        <v>347929.47</v>
      </c>
      <c r="L114" s="500">
        <f>SUM(L113)</f>
        <v>1</v>
      </c>
      <c r="M114" s="502" t="s">
        <v>1</v>
      </c>
      <c r="N114" s="500"/>
      <c r="O114" s="500">
        <f>SUM(O113)</f>
        <v>331361.39999999997</v>
      </c>
      <c r="P114" s="500">
        <f aca="true" t="shared" si="52" ref="P114:W114">SUM(P113)</f>
        <v>0</v>
      </c>
      <c r="Q114" s="500">
        <f t="shared" si="52"/>
        <v>16568.07</v>
      </c>
      <c r="R114" s="500">
        <f t="shared" si="52"/>
        <v>347929.47</v>
      </c>
      <c r="S114" s="500">
        <f t="shared" si="52"/>
        <v>0</v>
      </c>
      <c r="T114" s="500">
        <f t="shared" si="52"/>
        <v>0</v>
      </c>
      <c r="U114" s="500">
        <f t="shared" si="52"/>
        <v>0</v>
      </c>
      <c r="V114" s="500">
        <f t="shared" si="52"/>
        <v>0</v>
      </c>
      <c r="W114" s="500">
        <f t="shared" si="52"/>
        <v>0</v>
      </c>
      <c r="X114" s="500">
        <f>SUM(X113)</f>
        <v>1</v>
      </c>
      <c r="Y114" s="502" t="s">
        <v>1</v>
      </c>
      <c r="Z114" s="500"/>
      <c r="AA114" s="500">
        <f>SUM(AA113)</f>
        <v>331361.39999999997</v>
      </c>
      <c r="AB114" s="500">
        <f>SUM(AB113)</f>
        <v>0</v>
      </c>
      <c r="AC114" s="500">
        <f>SUM(AC113)</f>
        <v>16568.07</v>
      </c>
      <c r="AD114" s="500">
        <f>SUM(AD113)</f>
        <v>347929.47</v>
      </c>
      <c r="AE114" s="500">
        <f>SUM(AE113)</f>
        <v>1</v>
      </c>
      <c r="AF114" s="502" t="s">
        <v>1</v>
      </c>
      <c r="AG114" s="500"/>
      <c r="AH114" s="500">
        <f>SUM(AH113)</f>
        <v>341943.8</v>
      </c>
      <c r="AI114" s="500">
        <f>SUM(AI113)</f>
        <v>0</v>
      </c>
      <c r="AJ114" s="500">
        <f>SUM(AJ113)</f>
        <v>17097.19</v>
      </c>
      <c r="AK114" s="500">
        <f>SUM(AK113)</f>
        <v>359040.99</v>
      </c>
      <c r="AL114" s="510"/>
    </row>
    <row r="115" spans="1:38" ht="21" customHeight="1">
      <c r="A115" s="496"/>
      <c r="B115" s="503"/>
      <c r="C115" s="496"/>
      <c r="D115" s="520"/>
      <c r="E115" s="500"/>
      <c r="F115" s="496"/>
      <c r="G115" s="500"/>
      <c r="H115" s="508"/>
      <c r="I115" s="508"/>
      <c r="J115" s="508"/>
      <c r="K115" s="508"/>
      <c r="L115" s="500"/>
      <c r="M115" s="496"/>
      <c r="N115" s="500"/>
      <c r="O115" s="508"/>
      <c r="P115" s="508"/>
      <c r="Q115" s="508"/>
      <c r="R115" s="508"/>
      <c r="S115" s="570"/>
      <c r="T115" s="570"/>
      <c r="U115" s="570"/>
      <c r="V115" s="570"/>
      <c r="W115" s="570"/>
      <c r="X115" s="500"/>
      <c r="Y115" s="496"/>
      <c r="Z115" s="500"/>
      <c r="AA115" s="508"/>
      <c r="AB115" s="508"/>
      <c r="AC115" s="508"/>
      <c r="AD115" s="508"/>
      <c r="AE115" s="500"/>
      <c r="AF115" s="496"/>
      <c r="AG115" s="500"/>
      <c r="AH115" s="508"/>
      <c r="AI115" s="508"/>
      <c r="AJ115" s="508"/>
      <c r="AK115" s="508"/>
      <c r="AL115" s="510"/>
    </row>
    <row r="116" spans="1:38" ht="21" customHeight="1">
      <c r="A116" s="496"/>
      <c r="B116" s="503" t="s">
        <v>709</v>
      </c>
      <c r="C116" s="496"/>
      <c r="D116" s="520"/>
      <c r="E116" s="500"/>
      <c r="F116" s="496"/>
      <c r="G116" s="500"/>
      <c r="H116" s="508"/>
      <c r="I116" s="508"/>
      <c r="J116" s="508"/>
      <c r="K116" s="508"/>
      <c r="L116" s="500"/>
      <c r="M116" s="496"/>
      <c r="N116" s="500"/>
      <c r="O116" s="508"/>
      <c r="P116" s="508"/>
      <c r="Q116" s="508"/>
      <c r="R116" s="508"/>
      <c r="S116" s="570"/>
      <c r="T116" s="570"/>
      <c r="U116" s="570"/>
      <c r="V116" s="570"/>
      <c r="W116" s="570"/>
      <c r="X116" s="500"/>
      <c r="Y116" s="496"/>
      <c r="Z116" s="500"/>
      <c r="AA116" s="508"/>
      <c r="AB116" s="508"/>
      <c r="AC116" s="508"/>
      <c r="AD116" s="508"/>
      <c r="AE116" s="500"/>
      <c r="AF116" s="496"/>
      <c r="AG116" s="500"/>
      <c r="AH116" s="508"/>
      <c r="AI116" s="508"/>
      <c r="AJ116" s="508"/>
      <c r="AK116" s="508"/>
      <c r="AL116" s="510"/>
    </row>
    <row r="117" spans="1:38" ht="21" customHeight="1">
      <c r="A117" s="496">
        <v>1</v>
      </c>
      <c r="B117" s="585" t="s">
        <v>710</v>
      </c>
      <c r="C117" s="501" t="s">
        <v>711</v>
      </c>
      <c r="D117" s="520" t="s">
        <v>712</v>
      </c>
      <c r="E117" s="500">
        <v>1</v>
      </c>
      <c r="F117" s="496" t="s">
        <v>713</v>
      </c>
      <c r="G117" s="500">
        <v>4.85</v>
      </c>
      <c r="H117" s="498">
        <f>G117*66140</f>
        <v>320779</v>
      </c>
      <c r="I117" s="508"/>
      <c r="J117" s="508">
        <f>H117*0.05</f>
        <v>16038.95</v>
      </c>
      <c r="K117" s="508">
        <f>H117+I117+J117</f>
        <v>336817.95</v>
      </c>
      <c r="L117" s="500">
        <v>1</v>
      </c>
      <c r="M117" s="496" t="s">
        <v>714</v>
      </c>
      <c r="N117" s="500">
        <v>4.7</v>
      </c>
      <c r="O117" s="498">
        <f>N117*66140</f>
        <v>310858</v>
      </c>
      <c r="P117" s="508"/>
      <c r="Q117" s="508">
        <f>O117*0.05</f>
        <v>15542.900000000001</v>
      </c>
      <c r="R117" s="508">
        <f>O117+P117+Q117</f>
        <v>326400.9</v>
      </c>
      <c r="S117" s="570">
        <f t="shared" si="32"/>
        <v>0</v>
      </c>
      <c r="T117" s="570">
        <f t="shared" si="33"/>
        <v>9921</v>
      </c>
      <c r="U117" s="570">
        <f t="shared" si="33"/>
        <v>0</v>
      </c>
      <c r="V117" s="570">
        <f t="shared" si="33"/>
        <v>496.0499999999993</v>
      </c>
      <c r="W117" s="570">
        <f t="shared" si="34"/>
        <v>10417.05</v>
      </c>
      <c r="X117" s="500">
        <v>1</v>
      </c>
      <c r="Y117" s="496" t="s">
        <v>715</v>
      </c>
      <c r="Z117" s="500">
        <v>4.85</v>
      </c>
      <c r="AA117" s="498">
        <f>Z117*66140</f>
        <v>320779</v>
      </c>
      <c r="AB117" s="508"/>
      <c r="AC117" s="508">
        <f>AA117*0.05</f>
        <v>16038.95</v>
      </c>
      <c r="AD117" s="508">
        <f>AA117+AB117+AC117</f>
        <v>336817.95</v>
      </c>
      <c r="AE117" s="500">
        <v>1</v>
      </c>
      <c r="AF117" s="496" t="s">
        <v>716</v>
      </c>
      <c r="AG117" s="500">
        <v>4.85</v>
      </c>
      <c r="AH117" s="498">
        <f>AG117*66140</f>
        <v>320779</v>
      </c>
      <c r="AI117" s="508"/>
      <c r="AJ117" s="508">
        <f>AH117*0.05</f>
        <v>16038.95</v>
      </c>
      <c r="AK117" s="508">
        <f>AH117+AI117+AJ117</f>
        <v>336817.95</v>
      </c>
      <c r="AL117" s="510"/>
    </row>
    <row r="118" spans="1:38" ht="21" customHeight="1">
      <c r="A118" s="496">
        <v>2</v>
      </c>
      <c r="B118" s="585" t="s">
        <v>717</v>
      </c>
      <c r="C118" s="501" t="s">
        <v>718</v>
      </c>
      <c r="D118" s="520" t="s">
        <v>719</v>
      </c>
      <c r="E118" s="500">
        <v>1</v>
      </c>
      <c r="F118" s="496" t="s">
        <v>720</v>
      </c>
      <c r="G118" s="500">
        <v>3.11</v>
      </c>
      <c r="H118" s="498">
        <f>G118*66140</f>
        <v>205695.4</v>
      </c>
      <c r="I118" s="508"/>
      <c r="J118" s="508">
        <f>H118*0.05</f>
        <v>10284.77</v>
      </c>
      <c r="K118" s="508">
        <f>H118+I118+J118</f>
        <v>215980.16999999998</v>
      </c>
      <c r="L118" s="500">
        <v>1</v>
      </c>
      <c r="M118" s="496" t="s">
        <v>721</v>
      </c>
      <c r="N118" s="500">
        <v>3.02</v>
      </c>
      <c r="O118" s="498">
        <f>N118*66140</f>
        <v>199742.8</v>
      </c>
      <c r="P118" s="508"/>
      <c r="Q118" s="508"/>
      <c r="R118" s="508">
        <f>O118+P118+Q118</f>
        <v>199742.8</v>
      </c>
      <c r="S118" s="570">
        <f t="shared" si="32"/>
        <v>0</v>
      </c>
      <c r="T118" s="570">
        <f t="shared" si="33"/>
        <v>5952.600000000006</v>
      </c>
      <c r="U118" s="570">
        <f t="shared" si="33"/>
        <v>0</v>
      </c>
      <c r="V118" s="570">
        <f t="shared" si="33"/>
        <v>10284.77</v>
      </c>
      <c r="W118" s="570">
        <f t="shared" si="34"/>
        <v>16237.370000000006</v>
      </c>
      <c r="X118" s="500">
        <v>1</v>
      </c>
      <c r="Y118" s="496" t="s">
        <v>722</v>
      </c>
      <c r="Z118" s="500">
        <v>3.11</v>
      </c>
      <c r="AA118" s="498">
        <f>Z118*66140</f>
        <v>205695.4</v>
      </c>
      <c r="AB118" s="508"/>
      <c r="AC118" s="508">
        <f>AA118*0.05</f>
        <v>10284.77</v>
      </c>
      <c r="AD118" s="508">
        <f>AA118+AB118+AC118</f>
        <v>215980.16999999998</v>
      </c>
      <c r="AE118" s="500">
        <v>1</v>
      </c>
      <c r="AF118" s="496" t="s">
        <v>723</v>
      </c>
      <c r="AG118" s="500">
        <v>3.21</v>
      </c>
      <c r="AH118" s="498">
        <f>AG118*66140</f>
        <v>212309.4</v>
      </c>
      <c r="AI118" s="508"/>
      <c r="AJ118" s="508">
        <f>AH118*0.05</f>
        <v>10615.470000000001</v>
      </c>
      <c r="AK118" s="508">
        <f>AH118+AI118+AJ118</f>
        <v>222924.87</v>
      </c>
      <c r="AL118" s="510"/>
    </row>
    <row r="119" spans="1:38" ht="21" customHeight="1">
      <c r="A119" s="496"/>
      <c r="B119" s="583" t="s">
        <v>181</v>
      </c>
      <c r="C119" s="502" t="s">
        <v>1</v>
      </c>
      <c r="D119" s="521" t="s">
        <v>1</v>
      </c>
      <c r="E119" s="500">
        <f>SUM(E117:E118)</f>
        <v>2</v>
      </c>
      <c r="F119" s="502" t="s">
        <v>1</v>
      </c>
      <c r="G119" s="500"/>
      <c r="H119" s="500">
        <f>SUM(H117:H118)</f>
        <v>526474.4</v>
      </c>
      <c r="I119" s="500">
        <f>SUM(I117:I118)</f>
        <v>0</v>
      </c>
      <c r="J119" s="500">
        <f>SUM(J117:J118)</f>
        <v>26323.72</v>
      </c>
      <c r="K119" s="500">
        <f>SUM(K117:K118)</f>
        <v>552798.12</v>
      </c>
      <c r="L119" s="500">
        <f>SUM(L117:L118)</f>
        <v>2</v>
      </c>
      <c r="M119" s="502" t="s">
        <v>1</v>
      </c>
      <c r="N119" s="500"/>
      <c r="O119" s="500">
        <f>SUM(O117:O118)</f>
        <v>510600.8</v>
      </c>
      <c r="P119" s="500">
        <f aca="true" t="shared" si="53" ref="P119:W119">SUM(P117:P118)</f>
        <v>0</v>
      </c>
      <c r="Q119" s="500">
        <f t="shared" si="53"/>
        <v>15542.900000000001</v>
      </c>
      <c r="R119" s="500">
        <f t="shared" si="53"/>
        <v>526143.7</v>
      </c>
      <c r="S119" s="500">
        <f t="shared" si="53"/>
        <v>0</v>
      </c>
      <c r="T119" s="500">
        <f t="shared" si="53"/>
        <v>15873.600000000006</v>
      </c>
      <c r="U119" s="500">
        <f t="shared" si="53"/>
        <v>0</v>
      </c>
      <c r="V119" s="500">
        <f t="shared" si="53"/>
        <v>10780.82</v>
      </c>
      <c r="W119" s="500">
        <f t="shared" si="53"/>
        <v>26654.420000000006</v>
      </c>
      <c r="X119" s="500">
        <f>SUM(X117:X118)</f>
        <v>2</v>
      </c>
      <c r="Y119" s="502" t="s">
        <v>1</v>
      </c>
      <c r="Z119" s="500"/>
      <c r="AA119" s="500">
        <f>SUM(AA117:AA118)</f>
        <v>526474.4</v>
      </c>
      <c r="AB119" s="500">
        <f>SUM(AB117:AB118)</f>
        <v>0</v>
      </c>
      <c r="AC119" s="500">
        <f>SUM(AC117:AC118)</f>
        <v>26323.72</v>
      </c>
      <c r="AD119" s="500">
        <f>SUM(AD117:AD118)</f>
        <v>552798.12</v>
      </c>
      <c r="AE119" s="500">
        <f>SUM(AE117:AE118)</f>
        <v>2</v>
      </c>
      <c r="AF119" s="502" t="s">
        <v>1</v>
      </c>
      <c r="AG119" s="500"/>
      <c r="AH119" s="500">
        <f>SUM(AH117:AH118)</f>
        <v>533088.4</v>
      </c>
      <c r="AI119" s="500">
        <f>SUM(AI117:AI118)</f>
        <v>0</v>
      </c>
      <c r="AJ119" s="500">
        <f>SUM(AJ117:AJ118)</f>
        <v>26654.420000000002</v>
      </c>
      <c r="AK119" s="500">
        <f>SUM(AK117:AK118)</f>
        <v>559742.8200000001</v>
      </c>
      <c r="AL119" s="510"/>
    </row>
    <row r="120" spans="1:38" ht="21" customHeight="1">
      <c r="A120" s="496"/>
      <c r="B120" s="583"/>
      <c r="C120" s="502"/>
      <c r="D120" s="521"/>
      <c r="E120" s="500"/>
      <c r="F120" s="502"/>
      <c r="G120" s="500"/>
      <c r="H120" s="508"/>
      <c r="I120" s="508"/>
      <c r="J120" s="508"/>
      <c r="K120" s="508"/>
      <c r="L120" s="500"/>
      <c r="M120" s="502"/>
      <c r="N120" s="500"/>
      <c r="O120" s="508"/>
      <c r="P120" s="508"/>
      <c r="Q120" s="508"/>
      <c r="R120" s="508"/>
      <c r="S120" s="570"/>
      <c r="T120" s="570"/>
      <c r="U120" s="570"/>
      <c r="V120" s="570"/>
      <c r="W120" s="570"/>
      <c r="X120" s="500"/>
      <c r="Y120" s="502"/>
      <c r="Z120" s="500"/>
      <c r="AA120" s="508"/>
      <c r="AB120" s="508"/>
      <c r="AC120" s="508"/>
      <c r="AD120" s="508"/>
      <c r="AE120" s="500"/>
      <c r="AF120" s="502"/>
      <c r="AG120" s="500"/>
      <c r="AH120" s="508"/>
      <c r="AI120" s="508"/>
      <c r="AJ120" s="508"/>
      <c r="AK120" s="508"/>
      <c r="AL120" s="510"/>
    </row>
    <row r="121" spans="1:38" ht="30.75" customHeight="1">
      <c r="A121" s="496"/>
      <c r="B121" s="589" t="s">
        <v>724</v>
      </c>
      <c r="C121" s="497"/>
      <c r="D121" s="521"/>
      <c r="E121" s="500"/>
      <c r="F121" s="502"/>
      <c r="G121" s="500"/>
      <c r="H121" s="508"/>
      <c r="I121" s="508"/>
      <c r="J121" s="508"/>
      <c r="K121" s="508"/>
      <c r="L121" s="500"/>
      <c r="M121" s="502"/>
      <c r="N121" s="500"/>
      <c r="O121" s="508"/>
      <c r="P121" s="508"/>
      <c r="Q121" s="508"/>
      <c r="R121" s="508"/>
      <c r="S121" s="570"/>
      <c r="T121" s="570"/>
      <c r="U121" s="570"/>
      <c r="V121" s="570"/>
      <c r="W121" s="570"/>
      <c r="X121" s="500"/>
      <c r="Y121" s="502"/>
      <c r="Z121" s="500"/>
      <c r="AA121" s="508"/>
      <c r="AB121" s="508"/>
      <c r="AC121" s="508"/>
      <c r="AD121" s="508"/>
      <c r="AE121" s="500"/>
      <c r="AF121" s="502"/>
      <c r="AG121" s="500"/>
      <c r="AH121" s="508"/>
      <c r="AI121" s="508"/>
      <c r="AJ121" s="508"/>
      <c r="AK121" s="508"/>
      <c r="AL121" s="510"/>
    </row>
    <row r="122" spans="1:38" ht="27.75" customHeight="1">
      <c r="A122" s="496">
        <v>1</v>
      </c>
      <c r="B122" s="497" t="s">
        <v>725</v>
      </c>
      <c r="C122" s="497" t="s">
        <v>726</v>
      </c>
      <c r="D122" s="520" t="s">
        <v>727</v>
      </c>
      <c r="E122" s="500">
        <v>1</v>
      </c>
      <c r="F122" s="502" t="s">
        <v>728</v>
      </c>
      <c r="G122" s="500">
        <v>5.17</v>
      </c>
      <c r="H122" s="498">
        <f>G122*66140</f>
        <v>341943.8</v>
      </c>
      <c r="I122" s="508"/>
      <c r="J122" s="508">
        <f>H122*0.05</f>
        <v>17097.19</v>
      </c>
      <c r="K122" s="508">
        <f>H122+I122+J122</f>
        <v>359040.99</v>
      </c>
      <c r="L122" s="500">
        <v>1</v>
      </c>
      <c r="M122" s="502" t="s">
        <v>729</v>
      </c>
      <c r="N122" s="500">
        <v>5.17</v>
      </c>
      <c r="O122" s="498">
        <f>N122*66140</f>
        <v>341943.8</v>
      </c>
      <c r="P122" s="508"/>
      <c r="Q122" s="508">
        <f>O122*0.05</f>
        <v>17097.19</v>
      </c>
      <c r="R122" s="508">
        <f>O122+P122+Q122</f>
        <v>359040.99</v>
      </c>
      <c r="S122" s="570">
        <f t="shared" si="32"/>
        <v>0</v>
      </c>
      <c r="T122" s="570">
        <f t="shared" si="33"/>
        <v>0</v>
      </c>
      <c r="U122" s="570">
        <f t="shared" si="33"/>
        <v>0</v>
      </c>
      <c r="V122" s="570">
        <f t="shared" si="33"/>
        <v>0</v>
      </c>
      <c r="W122" s="570">
        <f t="shared" si="34"/>
        <v>0</v>
      </c>
      <c r="X122" s="500">
        <v>1</v>
      </c>
      <c r="Y122" s="502" t="s">
        <v>730</v>
      </c>
      <c r="Z122" s="500">
        <v>5.34</v>
      </c>
      <c r="AA122" s="498">
        <f>Z122*66140</f>
        <v>353187.6</v>
      </c>
      <c r="AB122" s="508"/>
      <c r="AC122" s="508">
        <f>AA122*0.05</f>
        <v>17659.38</v>
      </c>
      <c r="AD122" s="508">
        <f>AA122+AB122+AC122</f>
        <v>370846.98</v>
      </c>
      <c r="AE122" s="500">
        <v>1</v>
      </c>
      <c r="AF122" s="502" t="s">
        <v>731</v>
      </c>
      <c r="AG122" s="500">
        <v>5.34</v>
      </c>
      <c r="AH122" s="498">
        <f>AG122*66140</f>
        <v>353187.6</v>
      </c>
      <c r="AI122" s="508"/>
      <c r="AJ122" s="508">
        <f>AH122*0.05</f>
        <v>17659.38</v>
      </c>
      <c r="AK122" s="508">
        <f>AH122+AI122+AJ122</f>
        <v>370846.98</v>
      </c>
      <c r="AL122" s="510"/>
    </row>
    <row r="123" spans="1:38" ht="21" customHeight="1">
      <c r="A123" s="496"/>
      <c r="B123" s="497" t="s">
        <v>732</v>
      </c>
      <c r="C123" s="497" t="s">
        <v>733</v>
      </c>
      <c r="D123" s="520" t="s">
        <v>734</v>
      </c>
      <c r="E123" s="500">
        <v>1</v>
      </c>
      <c r="F123" s="516" t="s">
        <v>735</v>
      </c>
      <c r="G123" s="500">
        <v>2.92</v>
      </c>
      <c r="H123" s="498">
        <f>G123*66140</f>
        <v>193128.8</v>
      </c>
      <c r="I123" s="508"/>
      <c r="J123" s="508"/>
      <c r="K123" s="508">
        <f>H123+I123+J123</f>
        <v>193128.8</v>
      </c>
      <c r="L123" s="500">
        <v>1</v>
      </c>
      <c r="M123" s="516" t="s">
        <v>736</v>
      </c>
      <c r="N123" s="500">
        <v>2.83</v>
      </c>
      <c r="O123" s="498">
        <f>N123*66140</f>
        <v>187176.2</v>
      </c>
      <c r="P123" s="508"/>
      <c r="Q123" s="508"/>
      <c r="R123" s="508">
        <f>O123+P123+Q123</f>
        <v>187176.2</v>
      </c>
      <c r="S123" s="570">
        <f t="shared" si="32"/>
        <v>0</v>
      </c>
      <c r="T123" s="570">
        <f t="shared" si="33"/>
        <v>5952.599999999977</v>
      </c>
      <c r="U123" s="570">
        <f t="shared" si="33"/>
        <v>0</v>
      </c>
      <c r="V123" s="570">
        <f t="shared" si="33"/>
        <v>0</v>
      </c>
      <c r="W123" s="570">
        <f t="shared" si="34"/>
        <v>5952.599999999977</v>
      </c>
      <c r="X123" s="500">
        <v>1</v>
      </c>
      <c r="Y123" s="516" t="s">
        <v>737</v>
      </c>
      <c r="Z123" s="500">
        <v>3.02</v>
      </c>
      <c r="AA123" s="498">
        <f>Z123*66140</f>
        <v>199742.8</v>
      </c>
      <c r="AB123" s="508"/>
      <c r="AC123" s="508"/>
      <c r="AD123" s="508">
        <f>AA123+AB123+AC123</f>
        <v>199742.8</v>
      </c>
      <c r="AE123" s="500">
        <v>1</v>
      </c>
      <c r="AF123" s="516" t="s">
        <v>738</v>
      </c>
      <c r="AG123" s="500">
        <v>3.02</v>
      </c>
      <c r="AH123" s="498">
        <f>AG123*66140</f>
        <v>199742.8</v>
      </c>
      <c r="AI123" s="508"/>
      <c r="AJ123" s="508"/>
      <c r="AK123" s="508">
        <f>AH123+AI123+AJ123</f>
        <v>199742.8</v>
      </c>
      <c r="AL123" s="510"/>
    </row>
    <row r="124" spans="1:38" ht="21" customHeight="1">
      <c r="A124" s="496"/>
      <c r="B124" s="583" t="s">
        <v>181</v>
      </c>
      <c r="C124" s="502" t="s">
        <v>1</v>
      </c>
      <c r="D124" s="521" t="s">
        <v>1</v>
      </c>
      <c r="E124" s="500">
        <f>SUM(E122:E123)</f>
        <v>2</v>
      </c>
      <c r="F124" s="502" t="s">
        <v>1</v>
      </c>
      <c r="G124" s="500"/>
      <c r="H124" s="500">
        <f>SUM(H122:H123)</f>
        <v>535072.6</v>
      </c>
      <c r="I124" s="500">
        <f>SUM(I122:I123)</f>
        <v>0</v>
      </c>
      <c r="J124" s="500">
        <f>SUM(J122:J123)</f>
        <v>17097.19</v>
      </c>
      <c r="K124" s="500">
        <f>SUM(K122:K123)</f>
        <v>552169.79</v>
      </c>
      <c r="L124" s="500">
        <f>SUM(L122:L123)</f>
        <v>2</v>
      </c>
      <c r="M124" s="502" t="s">
        <v>1</v>
      </c>
      <c r="N124" s="500"/>
      <c r="O124" s="500">
        <f>SUM(O122:O123)</f>
        <v>529120</v>
      </c>
      <c r="P124" s="500">
        <f aca="true" t="shared" si="54" ref="P124:W124">SUM(P122:P123)</f>
        <v>0</v>
      </c>
      <c r="Q124" s="500">
        <f t="shared" si="54"/>
        <v>17097.19</v>
      </c>
      <c r="R124" s="500">
        <f t="shared" si="54"/>
        <v>546217.19</v>
      </c>
      <c r="S124" s="500">
        <f t="shared" si="54"/>
        <v>0</v>
      </c>
      <c r="T124" s="500">
        <f t="shared" si="54"/>
        <v>5952.599999999977</v>
      </c>
      <c r="U124" s="500">
        <f t="shared" si="54"/>
        <v>0</v>
      </c>
      <c r="V124" s="500">
        <f t="shared" si="54"/>
        <v>0</v>
      </c>
      <c r="W124" s="500">
        <f t="shared" si="54"/>
        <v>5952.599999999977</v>
      </c>
      <c r="X124" s="500">
        <f>SUM(X122:X123)</f>
        <v>2</v>
      </c>
      <c r="Y124" s="502" t="s">
        <v>1</v>
      </c>
      <c r="Z124" s="500"/>
      <c r="AA124" s="500">
        <f>SUM(AA122:AA123)</f>
        <v>552930.3999999999</v>
      </c>
      <c r="AB124" s="500">
        <f>SUM(AB122:AB123)</f>
        <v>0</v>
      </c>
      <c r="AC124" s="500">
        <f>SUM(AC122:AC123)</f>
        <v>17659.38</v>
      </c>
      <c r="AD124" s="500">
        <f>SUM(AD122:AD123)</f>
        <v>570589.78</v>
      </c>
      <c r="AE124" s="500">
        <f>SUM(AE122:AE123)</f>
        <v>2</v>
      </c>
      <c r="AF124" s="502" t="s">
        <v>1</v>
      </c>
      <c r="AG124" s="500"/>
      <c r="AH124" s="500">
        <f>SUM(AH122:AH123)</f>
        <v>552930.3999999999</v>
      </c>
      <c r="AI124" s="500">
        <f>SUM(AI122:AI123)</f>
        <v>0</v>
      </c>
      <c r="AJ124" s="500">
        <f>SUM(AJ122:AJ123)</f>
        <v>17659.38</v>
      </c>
      <c r="AK124" s="500">
        <f>SUM(AK122:AK123)</f>
        <v>570589.78</v>
      </c>
      <c r="AL124" s="510"/>
    </row>
    <row r="125" spans="1:38" ht="21" customHeight="1">
      <c r="A125" s="496"/>
      <c r="B125" s="583"/>
      <c r="C125" s="502"/>
      <c r="D125" s="521"/>
      <c r="E125" s="500"/>
      <c r="F125" s="502"/>
      <c r="G125" s="500"/>
      <c r="H125" s="508"/>
      <c r="I125" s="508"/>
      <c r="J125" s="508"/>
      <c r="K125" s="508"/>
      <c r="L125" s="500"/>
      <c r="M125" s="502"/>
      <c r="N125" s="500"/>
      <c r="O125" s="508"/>
      <c r="P125" s="508"/>
      <c r="Q125" s="508"/>
      <c r="R125" s="508"/>
      <c r="S125" s="570"/>
      <c r="T125" s="570"/>
      <c r="U125" s="570"/>
      <c r="V125" s="570"/>
      <c r="W125" s="570"/>
      <c r="X125" s="500"/>
      <c r="Y125" s="502"/>
      <c r="Z125" s="500"/>
      <c r="AA125" s="508"/>
      <c r="AB125" s="508"/>
      <c r="AC125" s="508"/>
      <c r="AD125" s="508"/>
      <c r="AE125" s="500"/>
      <c r="AF125" s="502"/>
      <c r="AG125" s="500"/>
      <c r="AH125" s="508"/>
      <c r="AI125" s="508"/>
      <c r="AJ125" s="508"/>
      <c r="AK125" s="508"/>
      <c r="AL125" s="510"/>
    </row>
    <row r="126" spans="1:38" ht="30.75" customHeight="1">
      <c r="A126" s="496"/>
      <c r="B126" s="589" t="s">
        <v>739</v>
      </c>
      <c r="C126" s="497"/>
      <c r="D126" s="521"/>
      <c r="E126" s="500"/>
      <c r="F126" s="502"/>
      <c r="G126" s="500"/>
      <c r="H126" s="508"/>
      <c r="I126" s="508"/>
      <c r="J126" s="508"/>
      <c r="K126" s="508"/>
      <c r="L126" s="500"/>
      <c r="M126" s="502"/>
      <c r="N126" s="500"/>
      <c r="O126" s="508"/>
      <c r="P126" s="508"/>
      <c r="Q126" s="508"/>
      <c r="R126" s="508"/>
      <c r="S126" s="570"/>
      <c r="T126" s="570"/>
      <c r="U126" s="570"/>
      <c r="V126" s="570"/>
      <c r="W126" s="570"/>
      <c r="X126" s="500"/>
      <c r="Y126" s="502"/>
      <c r="Z126" s="500"/>
      <c r="AA126" s="508"/>
      <c r="AB126" s="508"/>
      <c r="AC126" s="508"/>
      <c r="AD126" s="508"/>
      <c r="AE126" s="500"/>
      <c r="AF126" s="502"/>
      <c r="AG126" s="500"/>
      <c r="AH126" s="508"/>
      <c r="AI126" s="508"/>
      <c r="AJ126" s="508"/>
      <c r="AK126" s="508"/>
      <c r="AL126" s="510"/>
    </row>
    <row r="127" spans="1:38" ht="21" customHeight="1">
      <c r="A127" s="496">
        <v>1</v>
      </c>
      <c r="B127" s="497" t="s">
        <v>740</v>
      </c>
      <c r="C127" s="515" t="s">
        <v>741</v>
      </c>
      <c r="D127" s="520" t="s">
        <v>742</v>
      </c>
      <c r="E127" s="500">
        <v>1</v>
      </c>
      <c r="F127" s="509" t="s">
        <v>454</v>
      </c>
      <c r="G127" s="500">
        <v>5.34</v>
      </c>
      <c r="H127" s="498">
        <f>G127*66140</f>
        <v>353187.6</v>
      </c>
      <c r="I127" s="508"/>
      <c r="J127" s="508">
        <f>H127*0.2</f>
        <v>70637.52</v>
      </c>
      <c r="K127" s="508">
        <f>H127+I127+J127</f>
        <v>423825.12</v>
      </c>
      <c r="L127" s="500">
        <v>1</v>
      </c>
      <c r="M127" s="509" t="s">
        <v>455</v>
      </c>
      <c r="N127" s="500">
        <v>5.34</v>
      </c>
      <c r="O127" s="498">
        <f>N127*66140</f>
        <v>353187.6</v>
      </c>
      <c r="P127" s="508"/>
      <c r="Q127" s="508">
        <f>O127*0.2</f>
        <v>70637.52</v>
      </c>
      <c r="R127" s="508">
        <f>O127+P127+Q127</f>
        <v>423825.12</v>
      </c>
      <c r="S127" s="570">
        <f t="shared" si="32"/>
        <v>0</v>
      </c>
      <c r="T127" s="570">
        <f t="shared" si="33"/>
        <v>0</v>
      </c>
      <c r="U127" s="570">
        <f t="shared" si="33"/>
        <v>0</v>
      </c>
      <c r="V127" s="570">
        <f t="shared" si="33"/>
        <v>0</v>
      </c>
      <c r="W127" s="570">
        <f t="shared" si="34"/>
        <v>0</v>
      </c>
      <c r="X127" s="500">
        <v>1</v>
      </c>
      <c r="Y127" s="509" t="s">
        <v>456</v>
      </c>
      <c r="Z127" s="500">
        <v>5.34</v>
      </c>
      <c r="AA127" s="498">
        <f>Z127*66140</f>
        <v>353187.6</v>
      </c>
      <c r="AB127" s="508"/>
      <c r="AC127" s="508">
        <f>AA127*0.2</f>
        <v>70637.52</v>
      </c>
      <c r="AD127" s="508">
        <f>AA127+AB127+AC127</f>
        <v>423825.12</v>
      </c>
      <c r="AE127" s="500">
        <v>1</v>
      </c>
      <c r="AF127" s="509" t="s">
        <v>457</v>
      </c>
      <c r="AG127" s="500">
        <v>5.34</v>
      </c>
      <c r="AH127" s="498">
        <f>AG127*66140</f>
        <v>353187.6</v>
      </c>
      <c r="AI127" s="508"/>
      <c r="AJ127" s="508">
        <f>AH127*0.2</f>
        <v>70637.52</v>
      </c>
      <c r="AK127" s="508">
        <f>AH127+AI127+AJ127</f>
        <v>423825.12</v>
      </c>
      <c r="AL127" s="510"/>
    </row>
    <row r="128" spans="1:38" ht="21" customHeight="1">
      <c r="A128" s="496">
        <v>2</v>
      </c>
      <c r="B128" s="497" t="s">
        <v>743</v>
      </c>
      <c r="C128" s="515" t="s">
        <v>744</v>
      </c>
      <c r="D128" s="520" t="s">
        <v>745</v>
      </c>
      <c r="E128" s="500">
        <v>1</v>
      </c>
      <c r="F128" s="496" t="s">
        <v>746</v>
      </c>
      <c r="G128" s="500">
        <v>3.31</v>
      </c>
      <c r="H128" s="498">
        <f>G128*66140</f>
        <v>218923.4</v>
      </c>
      <c r="I128" s="508"/>
      <c r="J128" s="508">
        <f>H128*0.05</f>
        <v>10946.17</v>
      </c>
      <c r="K128" s="508">
        <f>H128+I128+J128</f>
        <v>229869.57</v>
      </c>
      <c r="L128" s="500">
        <v>1</v>
      </c>
      <c r="M128" s="496" t="s">
        <v>747</v>
      </c>
      <c r="N128" s="500">
        <v>3.31</v>
      </c>
      <c r="O128" s="498">
        <f>N128*66140</f>
        <v>218923.4</v>
      </c>
      <c r="P128" s="508"/>
      <c r="Q128" s="508">
        <f>O128*0.05</f>
        <v>10946.17</v>
      </c>
      <c r="R128" s="508">
        <f>O128+P128+Q128</f>
        <v>229869.57</v>
      </c>
      <c r="S128" s="570">
        <f t="shared" si="32"/>
        <v>0</v>
      </c>
      <c r="T128" s="570">
        <f t="shared" si="33"/>
        <v>0</v>
      </c>
      <c r="U128" s="570">
        <f t="shared" si="33"/>
        <v>0</v>
      </c>
      <c r="V128" s="570">
        <f t="shared" si="33"/>
        <v>0</v>
      </c>
      <c r="W128" s="570">
        <f t="shared" si="34"/>
        <v>0</v>
      </c>
      <c r="X128" s="500">
        <v>1</v>
      </c>
      <c r="Y128" s="496" t="s">
        <v>748</v>
      </c>
      <c r="Z128" s="500">
        <v>3.42</v>
      </c>
      <c r="AA128" s="498">
        <f>Z128*66140</f>
        <v>226198.8</v>
      </c>
      <c r="AB128" s="508"/>
      <c r="AC128" s="508">
        <f>AA128*0.05</f>
        <v>11309.94</v>
      </c>
      <c r="AD128" s="508">
        <f>AA128+AB128+AC128</f>
        <v>237508.74</v>
      </c>
      <c r="AE128" s="500">
        <v>1</v>
      </c>
      <c r="AF128" s="496" t="s">
        <v>749</v>
      </c>
      <c r="AG128" s="500">
        <v>3.42</v>
      </c>
      <c r="AH128" s="498">
        <f>AG128*66140</f>
        <v>226198.8</v>
      </c>
      <c r="AI128" s="508"/>
      <c r="AJ128" s="508">
        <f>AH128*0.05</f>
        <v>11309.94</v>
      </c>
      <c r="AK128" s="508">
        <f>AH128+AI128+AJ128</f>
        <v>237508.74</v>
      </c>
      <c r="AL128" s="510"/>
    </row>
    <row r="129" spans="1:38" ht="21" customHeight="1">
      <c r="A129" s="496"/>
      <c r="B129" s="583" t="s">
        <v>181</v>
      </c>
      <c r="C129" s="502" t="s">
        <v>1</v>
      </c>
      <c r="D129" s="521" t="s">
        <v>1</v>
      </c>
      <c r="E129" s="500">
        <f>SUM(E127:E128)</f>
        <v>2</v>
      </c>
      <c r="F129" s="502" t="s">
        <v>1</v>
      </c>
      <c r="G129" s="500"/>
      <c r="H129" s="500">
        <f>SUM(H127:H128)</f>
        <v>572111</v>
      </c>
      <c r="I129" s="500">
        <f>SUM(I127:I128)</f>
        <v>0</v>
      </c>
      <c r="J129" s="500">
        <f>SUM(J127:J128)</f>
        <v>81583.69</v>
      </c>
      <c r="K129" s="500">
        <f>SUM(K127:K128)</f>
        <v>653694.69</v>
      </c>
      <c r="L129" s="500">
        <f>SUM(L127:L128)</f>
        <v>2</v>
      </c>
      <c r="M129" s="502" t="s">
        <v>1</v>
      </c>
      <c r="N129" s="500"/>
      <c r="O129" s="500">
        <f>SUM(O127:O128)</f>
        <v>572111</v>
      </c>
      <c r="P129" s="500">
        <f aca="true" t="shared" si="55" ref="P129:W129">SUM(P127:P128)</f>
        <v>0</v>
      </c>
      <c r="Q129" s="500">
        <f t="shared" si="55"/>
        <v>81583.69</v>
      </c>
      <c r="R129" s="500">
        <f t="shared" si="55"/>
        <v>653694.69</v>
      </c>
      <c r="S129" s="500">
        <f t="shared" si="55"/>
        <v>0</v>
      </c>
      <c r="T129" s="500">
        <f t="shared" si="55"/>
        <v>0</v>
      </c>
      <c r="U129" s="500">
        <f t="shared" si="55"/>
        <v>0</v>
      </c>
      <c r="V129" s="500">
        <f t="shared" si="55"/>
        <v>0</v>
      </c>
      <c r="W129" s="500">
        <f t="shared" si="55"/>
        <v>0</v>
      </c>
      <c r="X129" s="500">
        <f>SUM(X127:X128)</f>
        <v>2</v>
      </c>
      <c r="Y129" s="502" t="s">
        <v>1</v>
      </c>
      <c r="Z129" s="500"/>
      <c r="AA129" s="500">
        <f>SUM(AA127:AA128)</f>
        <v>579386.3999999999</v>
      </c>
      <c r="AB129" s="500">
        <f>SUM(AB127:AB128)</f>
        <v>0</v>
      </c>
      <c r="AC129" s="500">
        <f>SUM(AC127:AC128)</f>
        <v>81947.46</v>
      </c>
      <c r="AD129" s="500">
        <f>SUM(AD127:AD128)</f>
        <v>661333.86</v>
      </c>
      <c r="AE129" s="500">
        <f>SUM(AE127:AE128)</f>
        <v>2</v>
      </c>
      <c r="AF129" s="502" t="s">
        <v>1</v>
      </c>
      <c r="AG129" s="500"/>
      <c r="AH129" s="500">
        <f>SUM(AH127:AH128)</f>
        <v>579386.3999999999</v>
      </c>
      <c r="AI129" s="500">
        <f>SUM(AI127:AI128)</f>
        <v>0</v>
      </c>
      <c r="AJ129" s="500">
        <f>SUM(AJ127:AJ128)</f>
        <v>81947.46</v>
      </c>
      <c r="AK129" s="500">
        <f>SUM(AK127:AK128)</f>
        <v>661333.86</v>
      </c>
      <c r="AL129" s="510"/>
    </row>
    <row r="130" spans="1:38" ht="21" customHeight="1">
      <c r="A130" s="496"/>
      <c r="B130" s="583"/>
      <c r="C130" s="502"/>
      <c r="D130" s="521"/>
      <c r="E130" s="500"/>
      <c r="F130" s="502"/>
      <c r="G130" s="500"/>
      <c r="H130" s="500"/>
      <c r="I130" s="500"/>
      <c r="J130" s="500"/>
      <c r="K130" s="500"/>
      <c r="L130" s="500"/>
      <c r="M130" s="502"/>
      <c r="N130" s="500"/>
      <c r="O130" s="500"/>
      <c r="P130" s="500"/>
      <c r="Q130" s="500"/>
      <c r="R130" s="500"/>
      <c r="S130" s="500"/>
      <c r="T130" s="500"/>
      <c r="U130" s="500"/>
      <c r="V130" s="500"/>
      <c r="W130" s="500"/>
      <c r="X130" s="500"/>
      <c r="Y130" s="502"/>
      <c r="Z130" s="500"/>
      <c r="AA130" s="500"/>
      <c r="AB130" s="500"/>
      <c r="AC130" s="500"/>
      <c r="AD130" s="500"/>
      <c r="AE130" s="500"/>
      <c r="AF130" s="502"/>
      <c r="AG130" s="500"/>
      <c r="AH130" s="500"/>
      <c r="AI130" s="500"/>
      <c r="AJ130" s="500"/>
      <c r="AK130" s="500"/>
      <c r="AL130" s="510"/>
    </row>
    <row r="131" spans="1:38" ht="21" customHeight="1">
      <c r="A131" s="496"/>
      <c r="B131" s="497" t="s">
        <v>750</v>
      </c>
      <c r="C131" s="502"/>
      <c r="D131" s="521"/>
      <c r="E131" s="500"/>
      <c r="F131" s="502"/>
      <c r="G131" s="500"/>
      <c r="H131" s="508"/>
      <c r="I131" s="508"/>
      <c r="J131" s="508"/>
      <c r="K131" s="508"/>
      <c r="L131" s="500"/>
      <c r="M131" s="502"/>
      <c r="N131" s="500"/>
      <c r="O131" s="508"/>
      <c r="P131" s="508"/>
      <c r="Q131" s="508"/>
      <c r="R131" s="508"/>
      <c r="S131" s="570"/>
      <c r="T131" s="570"/>
      <c r="U131" s="570"/>
      <c r="V131" s="570"/>
      <c r="W131" s="570"/>
      <c r="X131" s="500"/>
      <c r="Y131" s="502"/>
      <c r="Z131" s="500"/>
      <c r="AA131" s="508"/>
      <c r="AB131" s="508"/>
      <c r="AC131" s="508"/>
      <c r="AD131" s="508"/>
      <c r="AE131" s="500"/>
      <c r="AF131" s="502"/>
      <c r="AG131" s="500"/>
      <c r="AH131" s="508"/>
      <c r="AI131" s="508"/>
      <c r="AJ131" s="508"/>
      <c r="AK131" s="508"/>
      <c r="AL131" s="510"/>
    </row>
    <row r="132" spans="1:38" ht="21" customHeight="1">
      <c r="A132" s="496">
        <v>1</v>
      </c>
      <c r="B132" s="497" t="s">
        <v>751</v>
      </c>
      <c r="C132" s="497" t="s">
        <v>752</v>
      </c>
      <c r="D132" s="520" t="s">
        <v>753</v>
      </c>
      <c r="E132" s="500">
        <v>1</v>
      </c>
      <c r="F132" s="502" t="s">
        <v>754</v>
      </c>
      <c r="G132" s="500">
        <v>4.4</v>
      </c>
      <c r="H132" s="498">
        <f aca="true" t="shared" si="56" ref="H132:H137">G132*66140</f>
        <v>291016</v>
      </c>
      <c r="I132" s="508"/>
      <c r="J132" s="508">
        <f>H132*0.2</f>
        <v>58203.200000000004</v>
      </c>
      <c r="K132" s="508">
        <f aca="true" t="shared" si="57" ref="K132:K137">H132+I132+J132</f>
        <v>349219.2</v>
      </c>
      <c r="L132" s="500">
        <v>1</v>
      </c>
      <c r="M132" s="502" t="s">
        <v>755</v>
      </c>
      <c r="N132" s="500">
        <v>4.4</v>
      </c>
      <c r="O132" s="498">
        <f aca="true" t="shared" si="58" ref="O132:O137">N132*66140</f>
        <v>291016</v>
      </c>
      <c r="P132" s="508"/>
      <c r="Q132" s="508">
        <f>O132*0.05</f>
        <v>14550.800000000001</v>
      </c>
      <c r="R132" s="508">
        <f aca="true" t="shared" si="59" ref="R132:R137">O132+P132+Q132</f>
        <v>305566.8</v>
      </c>
      <c r="S132" s="570">
        <f t="shared" si="32"/>
        <v>0</v>
      </c>
      <c r="T132" s="570">
        <f t="shared" si="33"/>
        <v>0</v>
      </c>
      <c r="U132" s="570">
        <f t="shared" si="33"/>
        <v>0</v>
      </c>
      <c r="V132" s="570">
        <f t="shared" si="33"/>
        <v>43652.4</v>
      </c>
      <c r="W132" s="570">
        <f t="shared" si="34"/>
        <v>43652.4</v>
      </c>
      <c r="X132" s="500">
        <v>1</v>
      </c>
      <c r="Y132" s="502" t="s">
        <v>756</v>
      </c>
      <c r="Z132" s="500">
        <v>4.4</v>
      </c>
      <c r="AA132" s="498">
        <f aca="true" t="shared" si="60" ref="AA132:AA137">Z132*66140</f>
        <v>291016</v>
      </c>
      <c r="AB132" s="508"/>
      <c r="AC132" s="508">
        <f>AA132*0.05</f>
        <v>14550.800000000001</v>
      </c>
      <c r="AD132" s="508">
        <f aca="true" t="shared" si="61" ref="AD132:AD137">AA132+AB132+AC132</f>
        <v>305566.8</v>
      </c>
      <c r="AE132" s="500">
        <v>1</v>
      </c>
      <c r="AF132" s="502" t="s">
        <v>756</v>
      </c>
      <c r="AG132" s="500">
        <v>4.4</v>
      </c>
      <c r="AH132" s="498">
        <f aca="true" t="shared" si="62" ref="AH132:AH137">AG132*66140</f>
        <v>291016</v>
      </c>
      <c r="AI132" s="508"/>
      <c r="AJ132" s="508">
        <f>AH132*0.05</f>
        <v>14550.800000000001</v>
      </c>
      <c r="AK132" s="508">
        <f aca="true" t="shared" si="63" ref="AK132:AK137">AH132+AI132+AJ132</f>
        <v>305566.8</v>
      </c>
      <c r="AL132" s="510"/>
    </row>
    <row r="133" spans="1:38" ht="21" customHeight="1">
      <c r="A133" s="496">
        <v>2</v>
      </c>
      <c r="B133" s="497" t="s">
        <v>757</v>
      </c>
      <c r="C133" s="497" t="s">
        <v>758</v>
      </c>
      <c r="D133" s="520" t="s">
        <v>759</v>
      </c>
      <c r="E133" s="500">
        <v>1</v>
      </c>
      <c r="F133" s="502" t="s">
        <v>760</v>
      </c>
      <c r="G133" s="500">
        <v>2.66</v>
      </c>
      <c r="H133" s="498">
        <f t="shared" si="56"/>
        <v>175932.40000000002</v>
      </c>
      <c r="I133" s="508"/>
      <c r="J133" s="508">
        <f>H133*0.05</f>
        <v>8796.62</v>
      </c>
      <c r="K133" s="508">
        <f t="shared" si="57"/>
        <v>184729.02000000002</v>
      </c>
      <c r="L133" s="500">
        <v>1</v>
      </c>
      <c r="M133" s="502" t="s">
        <v>761</v>
      </c>
      <c r="N133" s="500">
        <v>2.58</v>
      </c>
      <c r="O133" s="498">
        <f t="shared" si="58"/>
        <v>170641.2</v>
      </c>
      <c r="P133" s="508"/>
      <c r="Q133" s="508"/>
      <c r="R133" s="508">
        <f t="shared" si="59"/>
        <v>170641.2</v>
      </c>
      <c r="S133" s="570">
        <f t="shared" si="32"/>
        <v>0</v>
      </c>
      <c r="T133" s="570">
        <f t="shared" si="33"/>
        <v>5291.200000000012</v>
      </c>
      <c r="U133" s="570">
        <f t="shared" si="33"/>
        <v>0</v>
      </c>
      <c r="V133" s="570">
        <f t="shared" si="33"/>
        <v>8796.62</v>
      </c>
      <c r="W133" s="570">
        <f t="shared" si="34"/>
        <v>14087.820000000012</v>
      </c>
      <c r="X133" s="500">
        <v>1</v>
      </c>
      <c r="Y133" s="502" t="s">
        <v>762</v>
      </c>
      <c r="Z133" s="500">
        <v>2.66</v>
      </c>
      <c r="AA133" s="498">
        <f t="shared" si="60"/>
        <v>175932.40000000002</v>
      </c>
      <c r="AB133" s="508"/>
      <c r="AC133" s="508">
        <f>AA133*0.05</f>
        <v>8796.62</v>
      </c>
      <c r="AD133" s="508">
        <f t="shared" si="61"/>
        <v>184729.02000000002</v>
      </c>
      <c r="AE133" s="500">
        <v>1</v>
      </c>
      <c r="AF133" s="502" t="s">
        <v>763</v>
      </c>
      <c r="AG133" s="500">
        <v>2.75</v>
      </c>
      <c r="AH133" s="498">
        <f t="shared" si="62"/>
        <v>181885</v>
      </c>
      <c r="AI133" s="508"/>
      <c r="AJ133" s="508">
        <f>AH133*0.05</f>
        <v>9094.25</v>
      </c>
      <c r="AK133" s="508">
        <f t="shared" si="63"/>
        <v>190979.25</v>
      </c>
      <c r="AL133" s="510"/>
    </row>
    <row r="134" spans="1:38" ht="21" customHeight="1">
      <c r="A134" s="496">
        <v>3</v>
      </c>
      <c r="B134" s="497" t="s">
        <v>764</v>
      </c>
      <c r="C134" s="497" t="s">
        <v>765</v>
      </c>
      <c r="D134" s="520" t="s">
        <v>766</v>
      </c>
      <c r="E134" s="500">
        <v>1</v>
      </c>
      <c r="F134" s="509" t="s">
        <v>454</v>
      </c>
      <c r="G134" s="500">
        <v>2.43</v>
      </c>
      <c r="H134" s="498">
        <f t="shared" si="56"/>
        <v>160720.2</v>
      </c>
      <c r="I134" s="508"/>
      <c r="J134" s="508">
        <f>H134*0.05</f>
        <v>8036.010000000001</v>
      </c>
      <c r="K134" s="508">
        <f t="shared" si="57"/>
        <v>168756.21000000002</v>
      </c>
      <c r="L134" s="500">
        <v>1</v>
      </c>
      <c r="M134" s="509" t="s">
        <v>455</v>
      </c>
      <c r="N134" s="500">
        <v>2.43</v>
      </c>
      <c r="O134" s="498">
        <f t="shared" si="58"/>
        <v>160720.2</v>
      </c>
      <c r="P134" s="508"/>
      <c r="Q134" s="508"/>
      <c r="R134" s="508">
        <f t="shared" si="59"/>
        <v>160720.2</v>
      </c>
      <c r="S134" s="570">
        <f t="shared" si="32"/>
        <v>0</v>
      </c>
      <c r="T134" s="570">
        <f t="shared" si="33"/>
        <v>0</v>
      </c>
      <c r="U134" s="570">
        <f t="shared" si="33"/>
        <v>0</v>
      </c>
      <c r="V134" s="570">
        <f t="shared" si="33"/>
        <v>8036.010000000001</v>
      </c>
      <c r="W134" s="570">
        <f t="shared" si="34"/>
        <v>8036.010000000001</v>
      </c>
      <c r="X134" s="500">
        <v>1</v>
      </c>
      <c r="Y134" s="509" t="s">
        <v>456</v>
      </c>
      <c r="Z134" s="500">
        <v>2.5</v>
      </c>
      <c r="AA134" s="498">
        <f t="shared" si="60"/>
        <v>165350</v>
      </c>
      <c r="AB134" s="508"/>
      <c r="AC134" s="508">
        <f>AA134*0.05</f>
        <v>8267.5</v>
      </c>
      <c r="AD134" s="508">
        <f t="shared" si="61"/>
        <v>173617.5</v>
      </c>
      <c r="AE134" s="500">
        <v>1</v>
      </c>
      <c r="AF134" s="509" t="s">
        <v>457</v>
      </c>
      <c r="AG134" s="500">
        <v>2.58</v>
      </c>
      <c r="AH134" s="498">
        <f t="shared" si="62"/>
        <v>170641.2</v>
      </c>
      <c r="AI134" s="508"/>
      <c r="AJ134" s="508">
        <f>AH134*0.05</f>
        <v>8532.060000000001</v>
      </c>
      <c r="AK134" s="508">
        <f t="shared" si="63"/>
        <v>179173.26</v>
      </c>
      <c r="AL134" s="510"/>
    </row>
    <row r="135" spans="1:38" ht="21" customHeight="1">
      <c r="A135" s="496">
        <v>4</v>
      </c>
      <c r="B135" s="497" t="s">
        <v>767</v>
      </c>
      <c r="C135" s="497" t="s">
        <v>765</v>
      </c>
      <c r="D135" s="520" t="s">
        <v>768</v>
      </c>
      <c r="E135" s="500">
        <v>1</v>
      </c>
      <c r="F135" s="502" t="s">
        <v>769</v>
      </c>
      <c r="G135" s="500">
        <v>2.08</v>
      </c>
      <c r="H135" s="498">
        <f t="shared" si="56"/>
        <v>137571.2</v>
      </c>
      <c r="I135" s="508"/>
      <c r="J135" s="508">
        <f>H135*0.05</f>
        <v>6878.560000000001</v>
      </c>
      <c r="K135" s="508">
        <f t="shared" si="57"/>
        <v>144449.76</v>
      </c>
      <c r="L135" s="500">
        <v>1</v>
      </c>
      <c r="M135" s="502" t="s">
        <v>770</v>
      </c>
      <c r="N135" s="500">
        <v>2.08</v>
      </c>
      <c r="O135" s="498">
        <f t="shared" si="58"/>
        <v>137571.2</v>
      </c>
      <c r="P135" s="508"/>
      <c r="Q135" s="508"/>
      <c r="R135" s="508">
        <f t="shared" si="59"/>
        <v>137571.2</v>
      </c>
      <c r="S135" s="570">
        <f t="shared" si="32"/>
        <v>0</v>
      </c>
      <c r="T135" s="570">
        <f t="shared" si="33"/>
        <v>0</v>
      </c>
      <c r="U135" s="570">
        <f t="shared" si="33"/>
        <v>0</v>
      </c>
      <c r="V135" s="570">
        <f t="shared" si="33"/>
        <v>6878.560000000001</v>
      </c>
      <c r="W135" s="570">
        <f t="shared" si="34"/>
        <v>6878.560000000001</v>
      </c>
      <c r="X135" s="500">
        <v>1</v>
      </c>
      <c r="Y135" s="502" t="s">
        <v>771</v>
      </c>
      <c r="Z135" s="500">
        <v>2.08</v>
      </c>
      <c r="AA135" s="498">
        <f t="shared" si="60"/>
        <v>137571.2</v>
      </c>
      <c r="AB135" s="508"/>
      <c r="AC135" s="508">
        <f>AA135*0.05</f>
        <v>6878.560000000001</v>
      </c>
      <c r="AD135" s="508">
        <f t="shared" si="61"/>
        <v>144449.76</v>
      </c>
      <c r="AE135" s="500">
        <v>1</v>
      </c>
      <c r="AF135" s="502" t="s">
        <v>772</v>
      </c>
      <c r="AG135" s="500">
        <v>2.14</v>
      </c>
      <c r="AH135" s="498">
        <f t="shared" si="62"/>
        <v>141539.6</v>
      </c>
      <c r="AI135" s="508"/>
      <c r="AJ135" s="508">
        <f>AH135*0.05</f>
        <v>7076.9800000000005</v>
      </c>
      <c r="AK135" s="508">
        <f t="shared" si="63"/>
        <v>148616.58000000002</v>
      </c>
      <c r="AL135" s="510"/>
    </row>
    <row r="136" spans="1:38" ht="21" customHeight="1">
      <c r="A136" s="496">
        <v>5</v>
      </c>
      <c r="B136" s="497" t="s">
        <v>773</v>
      </c>
      <c r="C136" s="497" t="s">
        <v>774</v>
      </c>
      <c r="D136" s="520" t="s">
        <v>775</v>
      </c>
      <c r="E136" s="500">
        <v>1</v>
      </c>
      <c r="F136" s="502" t="s">
        <v>776</v>
      </c>
      <c r="G136" s="500">
        <v>1.96</v>
      </c>
      <c r="H136" s="498">
        <f t="shared" si="56"/>
        <v>129634.4</v>
      </c>
      <c r="I136" s="508"/>
      <c r="J136" s="508">
        <f>H136*0.05</f>
        <v>6481.72</v>
      </c>
      <c r="K136" s="508">
        <f t="shared" si="57"/>
        <v>136116.12</v>
      </c>
      <c r="L136" s="500">
        <v>1</v>
      </c>
      <c r="M136" s="502" t="s">
        <v>777</v>
      </c>
      <c r="N136" s="500">
        <v>1.9</v>
      </c>
      <c r="O136" s="498">
        <f t="shared" si="58"/>
        <v>125666</v>
      </c>
      <c r="P136" s="508"/>
      <c r="Q136" s="508"/>
      <c r="R136" s="508">
        <f t="shared" si="59"/>
        <v>125666</v>
      </c>
      <c r="S136" s="570">
        <f t="shared" si="32"/>
        <v>0</v>
      </c>
      <c r="T136" s="570">
        <f t="shared" si="33"/>
        <v>3968.399999999994</v>
      </c>
      <c r="U136" s="570">
        <f t="shared" si="33"/>
        <v>0</v>
      </c>
      <c r="V136" s="570">
        <f t="shared" si="33"/>
        <v>6481.72</v>
      </c>
      <c r="W136" s="570">
        <f t="shared" si="34"/>
        <v>10450.119999999995</v>
      </c>
      <c r="X136" s="500">
        <v>1</v>
      </c>
      <c r="Y136" s="502" t="s">
        <v>778</v>
      </c>
      <c r="Z136" s="500">
        <v>1.96</v>
      </c>
      <c r="AA136" s="498">
        <f t="shared" si="60"/>
        <v>129634.4</v>
      </c>
      <c r="AB136" s="508"/>
      <c r="AC136" s="508">
        <f>AA136*0.05</f>
        <v>6481.72</v>
      </c>
      <c r="AD136" s="508">
        <f t="shared" si="61"/>
        <v>136116.12</v>
      </c>
      <c r="AE136" s="500">
        <v>1</v>
      </c>
      <c r="AF136" s="502" t="s">
        <v>779</v>
      </c>
      <c r="AG136" s="500">
        <v>2.02</v>
      </c>
      <c r="AH136" s="498">
        <f t="shared" si="62"/>
        <v>133602.8</v>
      </c>
      <c r="AI136" s="508"/>
      <c r="AJ136" s="508">
        <f>AH136*0.05</f>
        <v>6680.139999999999</v>
      </c>
      <c r="AK136" s="508">
        <f t="shared" si="63"/>
        <v>140282.94</v>
      </c>
      <c r="AL136" s="510"/>
    </row>
    <row r="137" spans="1:38" ht="21" customHeight="1">
      <c r="A137" s="496">
        <v>6</v>
      </c>
      <c r="B137" s="497"/>
      <c r="C137" s="497" t="s">
        <v>780</v>
      </c>
      <c r="D137" s="520" t="s">
        <v>781</v>
      </c>
      <c r="E137" s="500">
        <v>1</v>
      </c>
      <c r="F137" s="509" t="s">
        <v>970</v>
      </c>
      <c r="G137" s="500">
        <v>1.73</v>
      </c>
      <c r="H137" s="498">
        <f t="shared" si="56"/>
        <v>114422.2</v>
      </c>
      <c r="I137" s="508"/>
      <c r="J137" s="508"/>
      <c r="K137" s="508">
        <f t="shared" si="57"/>
        <v>114422.2</v>
      </c>
      <c r="L137" s="500">
        <v>1</v>
      </c>
      <c r="M137" s="509" t="s">
        <v>609</v>
      </c>
      <c r="N137" s="500">
        <v>1.68</v>
      </c>
      <c r="O137" s="498">
        <f t="shared" si="58"/>
        <v>111115.2</v>
      </c>
      <c r="P137" s="508"/>
      <c r="Q137" s="508"/>
      <c r="R137" s="508">
        <f t="shared" si="59"/>
        <v>111115.2</v>
      </c>
      <c r="S137" s="570">
        <f t="shared" si="32"/>
        <v>0</v>
      </c>
      <c r="T137" s="570">
        <f t="shared" si="33"/>
        <v>3307</v>
      </c>
      <c r="U137" s="570">
        <f t="shared" si="33"/>
        <v>0</v>
      </c>
      <c r="V137" s="570">
        <f t="shared" si="33"/>
        <v>0</v>
      </c>
      <c r="W137" s="570">
        <f t="shared" si="34"/>
        <v>3307</v>
      </c>
      <c r="X137" s="500">
        <v>1</v>
      </c>
      <c r="Y137" s="509" t="s">
        <v>535</v>
      </c>
      <c r="Z137" s="500">
        <v>1.79</v>
      </c>
      <c r="AA137" s="498">
        <f t="shared" si="60"/>
        <v>118390.6</v>
      </c>
      <c r="AB137" s="508"/>
      <c r="AC137" s="508"/>
      <c r="AD137" s="508">
        <f t="shared" si="61"/>
        <v>118390.6</v>
      </c>
      <c r="AE137" s="500">
        <v>1</v>
      </c>
      <c r="AF137" s="509" t="s">
        <v>536</v>
      </c>
      <c r="AG137" s="500">
        <v>1.84</v>
      </c>
      <c r="AH137" s="498">
        <f t="shared" si="62"/>
        <v>121697.6</v>
      </c>
      <c r="AI137" s="508"/>
      <c r="AJ137" s="508"/>
      <c r="AK137" s="508">
        <f t="shared" si="63"/>
        <v>121697.6</v>
      </c>
      <c r="AL137" s="510"/>
    </row>
    <row r="138" spans="1:38" ht="21" customHeight="1">
      <c r="A138" s="496"/>
      <c r="B138" s="583" t="s">
        <v>181</v>
      </c>
      <c r="C138" s="502" t="s">
        <v>1</v>
      </c>
      <c r="D138" s="521" t="s">
        <v>1</v>
      </c>
      <c r="E138" s="500">
        <f>SUM(E132:E137)</f>
        <v>6</v>
      </c>
      <c r="F138" s="502" t="s">
        <v>1</v>
      </c>
      <c r="G138" s="500"/>
      <c r="H138" s="500">
        <f>SUM(H132:H137)</f>
        <v>1009296.4</v>
      </c>
      <c r="I138" s="500">
        <f>SUM(I132:I137)</f>
        <v>0</v>
      </c>
      <c r="J138" s="500">
        <f>SUM(J132:J137)</f>
        <v>88396.11</v>
      </c>
      <c r="K138" s="500">
        <f>SUM(K132:K137)</f>
        <v>1097692.51</v>
      </c>
      <c r="L138" s="500">
        <f>SUM(L132:L137)</f>
        <v>6</v>
      </c>
      <c r="M138" s="502" t="s">
        <v>1</v>
      </c>
      <c r="N138" s="500"/>
      <c r="O138" s="500">
        <f>SUM(O132:O137)</f>
        <v>996729.8</v>
      </c>
      <c r="P138" s="500">
        <f aca="true" t="shared" si="64" ref="P138:W138">SUM(P132:P137)</f>
        <v>0</v>
      </c>
      <c r="Q138" s="500">
        <f t="shared" si="64"/>
        <v>14550.800000000001</v>
      </c>
      <c r="R138" s="500">
        <f t="shared" si="64"/>
        <v>1011280.5999999999</v>
      </c>
      <c r="S138" s="500">
        <f t="shared" si="64"/>
        <v>0</v>
      </c>
      <c r="T138" s="500">
        <f t="shared" si="64"/>
        <v>12566.600000000006</v>
      </c>
      <c r="U138" s="500">
        <f t="shared" si="64"/>
        <v>0</v>
      </c>
      <c r="V138" s="500">
        <f t="shared" si="64"/>
        <v>73845.31000000001</v>
      </c>
      <c r="W138" s="500">
        <f t="shared" si="64"/>
        <v>86411.91</v>
      </c>
      <c r="X138" s="500">
        <f>SUM(X132:X137)</f>
        <v>6</v>
      </c>
      <c r="Y138" s="502" t="s">
        <v>1</v>
      </c>
      <c r="Z138" s="500"/>
      <c r="AA138" s="500">
        <f>SUM(AA132:AA137)</f>
        <v>1017894.6000000001</v>
      </c>
      <c r="AB138" s="500">
        <f>SUM(AB132:AB137)</f>
        <v>0</v>
      </c>
      <c r="AC138" s="500">
        <f>SUM(AC132:AC137)</f>
        <v>44975.200000000004</v>
      </c>
      <c r="AD138" s="500">
        <f>SUM(AD132:AD137)</f>
        <v>1062869.8</v>
      </c>
      <c r="AE138" s="500">
        <f>SUM(AE132:AE137)</f>
        <v>6</v>
      </c>
      <c r="AF138" s="502" t="s">
        <v>1</v>
      </c>
      <c r="AG138" s="500"/>
      <c r="AH138" s="500">
        <f>SUM(AH132:AH137)</f>
        <v>1040382.1999999998</v>
      </c>
      <c r="AI138" s="500">
        <f>SUM(AI132:AI137)</f>
        <v>0</v>
      </c>
      <c r="AJ138" s="500">
        <f>SUM(AJ132:AJ137)</f>
        <v>45934.23</v>
      </c>
      <c r="AK138" s="500">
        <f>SUM(AK132:AK137)</f>
        <v>1086316.4300000002</v>
      </c>
      <c r="AL138" s="510"/>
    </row>
    <row r="139" spans="1:38" ht="21" customHeight="1">
      <c r="A139" s="496"/>
      <c r="B139" s="583"/>
      <c r="C139" s="502"/>
      <c r="D139" s="521"/>
      <c r="E139" s="500"/>
      <c r="F139" s="502"/>
      <c r="G139" s="500"/>
      <c r="H139" s="508"/>
      <c r="I139" s="508"/>
      <c r="J139" s="508"/>
      <c r="K139" s="508"/>
      <c r="L139" s="500"/>
      <c r="M139" s="502"/>
      <c r="N139" s="500"/>
      <c r="O139" s="508"/>
      <c r="P139" s="508"/>
      <c r="Q139" s="508"/>
      <c r="R139" s="508"/>
      <c r="S139" s="570"/>
      <c r="T139" s="570"/>
      <c r="U139" s="570"/>
      <c r="V139" s="570"/>
      <c r="W139" s="570"/>
      <c r="X139" s="500"/>
      <c r="Y139" s="502"/>
      <c r="Z139" s="500"/>
      <c r="AA139" s="508"/>
      <c r="AB139" s="508"/>
      <c r="AC139" s="508"/>
      <c r="AD139" s="508"/>
      <c r="AE139" s="500"/>
      <c r="AF139" s="502"/>
      <c r="AG139" s="500"/>
      <c r="AH139" s="508"/>
      <c r="AI139" s="508"/>
      <c r="AJ139" s="508"/>
      <c r="AK139" s="508"/>
      <c r="AL139" s="510"/>
    </row>
    <row r="140" spans="1:38" ht="21" customHeight="1">
      <c r="A140" s="496"/>
      <c r="B140" s="497" t="s">
        <v>782</v>
      </c>
      <c r="C140" s="502"/>
      <c r="D140" s="521"/>
      <c r="E140" s="500"/>
      <c r="F140" s="502"/>
      <c r="G140" s="500"/>
      <c r="H140" s="508"/>
      <c r="I140" s="508"/>
      <c r="J140" s="508"/>
      <c r="K140" s="508"/>
      <c r="L140" s="500"/>
      <c r="M140" s="502"/>
      <c r="N140" s="500"/>
      <c r="O140" s="508"/>
      <c r="P140" s="508"/>
      <c r="Q140" s="508"/>
      <c r="R140" s="508"/>
      <c r="S140" s="570"/>
      <c r="T140" s="570"/>
      <c r="U140" s="570"/>
      <c r="V140" s="570"/>
      <c r="W140" s="570"/>
      <c r="X140" s="500"/>
      <c r="Y140" s="502"/>
      <c r="Z140" s="500"/>
      <c r="AA140" s="508"/>
      <c r="AB140" s="508"/>
      <c r="AC140" s="508"/>
      <c r="AD140" s="508"/>
      <c r="AE140" s="500"/>
      <c r="AF140" s="502"/>
      <c r="AG140" s="500"/>
      <c r="AH140" s="508"/>
      <c r="AI140" s="508"/>
      <c r="AJ140" s="508"/>
      <c r="AK140" s="508"/>
      <c r="AL140" s="510"/>
    </row>
    <row r="141" spans="1:38" ht="21" customHeight="1">
      <c r="A141" s="496">
        <v>1</v>
      </c>
      <c r="B141" s="497" t="s">
        <v>783</v>
      </c>
      <c r="C141" s="497" t="s">
        <v>784</v>
      </c>
      <c r="D141" s="520" t="s">
        <v>785</v>
      </c>
      <c r="E141" s="500">
        <v>1</v>
      </c>
      <c r="F141" s="502" t="s">
        <v>786</v>
      </c>
      <c r="G141" s="500">
        <v>4.27</v>
      </c>
      <c r="H141" s="498">
        <f aca="true" t="shared" si="65" ref="H141:H146">G141*66140</f>
        <v>282417.8</v>
      </c>
      <c r="I141" s="508"/>
      <c r="J141" s="508">
        <f aca="true" t="shared" si="66" ref="J141:J146">H141*0.05</f>
        <v>14120.89</v>
      </c>
      <c r="K141" s="508">
        <f aca="true" t="shared" si="67" ref="K141:K146">H141+I141+J141</f>
        <v>296538.69</v>
      </c>
      <c r="L141" s="500">
        <v>1</v>
      </c>
      <c r="M141" s="502" t="s">
        <v>787</v>
      </c>
      <c r="N141" s="500">
        <v>4.27</v>
      </c>
      <c r="O141" s="498">
        <f aca="true" t="shared" si="68" ref="O141:O146">N141*66140</f>
        <v>282417.8</v>
      </c>
      <c r="P141" s="508"/>
      <c r="Q141" s="508">
        <f>O141*0.05</f>
        <v>14120.89</v>
      </c>
      <c r="R141" s="508">
        <f aca="true" t="shared" si="69" ref="R141:R146">O141+P141+Q141</f>
        <v>296538.69</v>
      </c>
      <c r="S141" s="570">
        <f aca="true" t="shared" si="70" ref="S141:S146">+E141-L141</f>
        <v>0</v>
      </c>
      <c r="T141" s="570">
        <f>H141-O141</f>
        <v>0</v>
      </c>
      <c r="U141" s="570">
        <f aca="true" t="shared" si="71" ref="T141:V146">I141-P141</f>
        <v>0</v>
      </c>
      <c r="V141" s="570">
        <f t="shared" si="71"/>
        <v>0</v>
      </c>
      <c r="W141" s="570">
        <f aca="true" t="shared" si="72" ref="W141:W146">T141+U141+V141</f>
        <v>0</v>
      </c>
      <c r="X141" s="500">
        <v>1</v>
      </c>
      <c r="Y141" s="502" t="s">
        <v>788</v>
      </c>
      <c r="Z141" s="500">
        <v>4.27</v>
      </c>
      <c r="AA141" s="498">
        <f aca="true" t="shared" si="73" ref="AA141:AA146">Z141*66140</f>
        <v>282417.8</v>
      </c>
      <c r="AB141" s="508"/>
      <c r="AC141" s="508">
        <f aca="true" t="shared" si="74" ref="AC141:AC146">AA141*0.05</f>
        <v>14120.89</v>
      </c>
      <c r="AD141" s="508">
        <f aca="true" t="shared" si="75" ref="AD141:AD146">AA141+AB141+AC141</f>
        <v>296538.69</v>
      </c>
      <c r="AE141" s="500">
        <v>1</v>
      </c>
      <c r="AF141" s="502" t="s">
        <v>789</v>
      </c>
      <c r="AG141" s="500">
        <v>4.27</v>
      </c>
      <c r="AH141" s="498">
        <f aca="true" t="shared" si="76" ref="AH141:AH146">AG141*66140</f>
        <v>282417.8</v>
      </c>
      <c r="AI141" s="508"/>
      <c r="AJ141" s="508">
        <f aca="true" t="shared" si="77" ref="AJ141:AJ146">AH141*0.05</f>
        <v>14120.89</v>
      </c>
      <c r="AK141" s="508">
        <f aca="true" t="shared" si="78" ref="AK141:AK146">AH141+AI141+AJ141</f>
        <v>296538.69</v>
      </c>
      <c r="AL141" s="510"/>
    </row>
    <row r="142" spans="1:38" ht="21" customHeight="1">
      <c r="A142" s="496">
        <v>2</v>
      </c>
      <c r="B142" s="497" t="s">
        <v>790</v>
      </c>
      <c r="C142" s="497" t="s">
        <v>791</v>
      </c>
      <c r="D142" s="520" t="s">
        <v>792</v>
      </c>
      <c r="E142" s="500">
        <v>1</v>
      </c>
      <c r="F142" s="502" t="s">
        <v>793</v>
      </c>
      <c r="G142" s="500">
        <v>2.75</v>
      </c>
      <c r="H142" s="498">
        <f t="shared" si="65"/>
        <v>181885</v>
      </c>
      <c r="I142" s="508"/>
      <c r="J142" s="508">
        <f t="shared" si="66"/>
        <v>9094.25</v>
      </c>
      <c r="K142" s="508">
        <f t="shared" si="67"/>
        <v>190979.25</v>
      </c>
      <c r="L142" s="500">
        <v>1</v>
      </c>
      <c r="M142" s="502" t="s">
        <v>794</v>
      </c>
      <c r="N142" s="500">
        <v>2.75</v>
      </c>
      <c r="O142" s="498">
        <f t="shared" si="68"/>
        <v>181885</v>
      </c>
      <c r="P142" s="508"/>
      <c r="Q142" s="508">
        <f>O142*0.05</f>
        <v>9094.25</v>
      </c>
      <c r="R142" s="508">
        <f t="shared" si="69"/>
        <v>190979.25</v>
      </c>
      <c r="S142" s="570">
        <f t="shared" si="70"/>
        <v>0</v>
      </c>
      <c r="T142" s="570">
        <f t="shared" si="71"/>
        <v>0</v>
      </c>
      <c r="U142" s="570">
        <f t="shared" si="71"/>
        <v>0</v>
      </c>
      <c r="V142" s="570">
        <f t="shared" si="71"/>
        <v>0</v>
      </c>
      <c r="W142" s="570">
        <f t="shared" si="72"/>
        <v>0</v>
      </c>
      <c r="X142" s="500">
        <v>1</v>
      </c>
      <c r="Y142" s="502" t="s">
        <v>795</v>
      </c>
      <c r="Z142" s="500">
        <v>2.83</v>
      </c>
      <c r="AA142" s="498">
        <f t="shared" si="73"/>
        <v>187176.2</v>
      </c>
      <c r="AB142" s="508"/>
      <c r="AC142" s="508">
        <f t="shared" si="74"/>
        <v>9358.810000000001</v>
      </c>
      <c r="AD142" s="508">
        <f t="shared" si="75"/>
        <v>196535.01</v>
      </c>
      <c r="AE142" s="500">
        <v>1</v>
      </c>
      <c r="AF142" s="502" t="s">
        <v>796</v>
      </c>
      <c r="AG142" s="500">
        <v>2.83</v>
      </c>
      <c r="AH142" s="498">
        <f t="shared" si="76"/>
        <v>187176.2</v>
      </c>
      <c r="AI142" s="508"/>
      <c r="AJ142" s="508">
        <f t="shared" si="77"/>
        <v>9358.810000000001</v>
      </c>
      <c r="AK142" s="508">
        <f t="shared" si="78"/>
        <v>196535.01</v>
      </c>
      <c r="AL142" s="510"/>
    </row>
    <row r="143" spans="1:38" ht="21" customHeight="1">
      <c r="A143" s="496">
        <v>3</v>
      </c>
      <c r="B143" s="497" t="s">
        <v>797</v>
      </c>
      <c r="C143" s="497" t="s">
        <v>798</v>
      </c>
      <c r="D143" s="520" t="s">
        <v>799</v>
      </c>
      <c r="E143" s="500">
        <v>1</v>
      </c>
      <c r="F143" s="509" t="s">
        <v>454</v>
      </c>
      <c r="G143" s="500">
        <v>2.08</v>
      </c>
      <c r="H143" s="498">
        <f t="shared" si="65"/>
        <v>137571.2</v>
      </c>
      <c r="I143" s="508"/>
      <c r="J143" s="508">
        <f t="shared" si="66"/>
        <v>6878.560000000001</v>
      </c>
      <c r="K143" s="508">
        <f t="shared" si="67"/>
        <v>144449.76</v>
      </c>
      <c r="L143" s="500">
        <v>1</v>
      </c>
      <c r="M143" s="509" t="s">
        <v>455</v>
      </c>
      <c r="N143" s="500">
        <v>2.08</v>
      </c>
      <c r="O143" s="498">
        <f t="shared" si="68"/>
        <v>137571.2</v>
      </c>
      <c r="P143" s="508"/>
      <c r="Q143" s="508"/>
      <c r="R143" s="508">
        <f t="shared" si="69"/>
        <v>137571.2</v>
      </c>
      <c r="S143" s="570">
        <f t="shared" si="70"/>
        <v>0</v>
      </c>
      <c r="T143" s="570">
        <f t="shared" si="71"/>
        <v>0</v>
      </c>
      <c r="U143" s="570">
        <f t="shared" si="71"/>
        <v>0</v>
      </c>
      <c r="V143" s="570">
        <f t="shared" si="71"/>
        <v>6878.560000000001</v>
      </c>
      <c r="W143" s="570">
        <f t="shared" si="72"/>
        <v>6878.560000000001</v>
      </c>
      <c r="X143" s="500">
        <v>1</v>
      </c>
      <c r="Y143" s="509" t="s">
        <v>456</v>
      </c>
      <c r="Z143" s="500">
        <v>2.15</v>
      </c>
      <c r="AA143" s="498">
        <f t="shared" si="73"/>
        <v>142201</v>
      </c>
      <c r="AB143" s="508"/>
      <c r="AC143" s="508">
        <f t="shared" si="74"/>
        <v>7110.05</v>
      </c>
      <c r="AD143" s="508">
        <f t="shared" si="75"/>
        <v>149311.05</v>
      </c>
      <c r="AE143" s="500">
        <v>1</v>
      </c>
      <c r="AF143" s="509" t="s">
        <v>576</v>
      </c>
      <c r="AG143" s="500">
        <v>2.21</v>
      </c>
      <c r="AH143" s="498">
        <f t="shared" si="76"/>
        <v>146169.4</v>
      </c>
      <c r="AI143" s="508"/>
      <c r="AJ143" s="508">
        <f t="shared" si="77"/>
        <v>7308.47</v>
      </c>
      <c r="AK143" s="508">
        <f t="shared" si="78"/>
        <v>153477.87</v>
      </c>
      <c r="AL143" s="510"/>
    </row>
    <row r="144" spans="1:38" ht="21" customHeight="1">
      <c r="A144" s="496">
        <v>4</v>
      </c>
      <c r="B144" s="497" t="s">
        <v>800</v>
      </c>
      <c r="C144" s="497" t="s">
        <v>798</v>
      </c>
      <c r="D144" s="520" t="s">
        <v>801</v>
      </c>
      <c r="E144" s="500">
        <v>1</v>
      </c>
      <c r="F144" s="509" t="s">
        <v>454</v>
      </c>
      <c r="G144" s="500">
        <v>2.08</v>
      </c>
      <c r="H144" s="498">
        <f t="shared" si="65"/>
        <v>137571.2</v>
      </c>
      <c r="I144" s="508"/>
      <c r="J144" s="508">
        <f t="shared" si="66"/>
        <v>6878.560000000001</v>
      </c>
      <c r="K144" s="508">
        <f t="shared" si="67"/>
        <v>144449.76</v>
      </c>
      <c r="L144" s="500">
        <v>1</v>
      </c>
      <c r="M144" s="509" t="s">
        <v>455</v>
      </c>
      <c r="N144" s="500">
        <v>2.08</v>
      </c>
      <c r="O144" s="498">
        <f t="shared" si="68"/>
        <v>137571.2</v>
      </c>
      <c r="P144" s="508"/>
      <c r="Q144" s="508"/>
      <c r="R144" s="508">
        <f t="shared" si="69"/>
        <v>137571.2</v>
      </c>
      <c r="S144" s="570">
        <f t="shared" si="70"/>
        <v>0</v>
      </c>
      <c r="T144" s="570">
        <f t="shared" si="71"/>
        <v>0</v>
      </c>
      <c r="U144" s="570">
        <f t="shared" si="71"/>
        <v>0</v>
      </c>
      <c r="V144" s="570">
        <f t="shared" si="71"/>
        <v>6878.560000000001</v>
      </c>
      <c r="W144" s="570">
        <f t="shared" si="72"/>
        <v>6878.560000000001</v>
      </c>
      <c r="X144" s="500">
        <v>1</v>
      </c>
      <c r="Y144" s="509" t="s">
        <v>456</v>
      </c>
      <c r="Z144" s="500">
        <v>2.15</v>
      </c>
      <c r="AA144" s="498">
        <f t="shared" si="73"/>
        <v>142201</v>
      </c>
      <c r="AB144" s="508"/>
      <c r="AC144" s="508">
        <f t="shared" si="74"/>
        <v>7110.05</v>
      </c>
      <c r="AD144" s="508">
        <f t="shared" si="75"/>
        <v>149311.05</v>
      </c>
      <c r="AE144" s="500">
        <v>1</v>
      </c>
      <c r="AF144" s="509" t="s">
        <v>457</v>
      </c>
      <c r="AG144" s="500">
        <v>2.21</v>
      </c>
      <c r="AH144" s="498">
        <f t="shared" si="76"/>
        <v>146169.4</v>
      </c>
      <c r="AI144" s="508"/>
      <c r="AJ144" s="508">
        <f t="shared" si="77"/>
        <v>7308.47</v>
      </c>
      <c r="AK144" s="508">
        <f t="shared" si="78"/>
        <v>153477.87</v>
      </c>
      <c r="AL144" s="510"/>
    </row>
    <row r="145" spans="1:38" ht="21" customHeight="1">
      <c r="A145" s="496">
        <v>5</v>
      </c>
      <c r="B145" s="585" t="s">
        <v>802</v>
      </c>
      <c r="C145" s="497" t="s">
        <v>803</v>
      </c>
      <c r="D145" s="520" t="s">
        <v>804</v>
      </c>
      <c r="E145" s="500">
        <v>1</v>
      </c>
      <c r="F145" s="509" t="s">
        <v>454</v>
      </c>
      <c r="G145" s="500">
        <v>1.73</v>
      </c>
      <c r="H145" s="498">
        <f t="shared" si="65"/>
        <v>114422.2</v>
      </c>
      <c r="I145" s="508"/>
      <c r="J145" s="508">
        <f t="shared" si="66"/>
        <v>5721.110000000001</v>
      </c>
      <c r="K145" s="508">
        <f t="shared" si="67"/>
        <v>120143.31</v>
      </c>
      <c r="L145" s="500">
        <v>1</v>
      </c>
      <c r="M145" s="509" t="s">
        <v>455</v>
      </c>
      <c r="N145" s="500">
        <v>1.73</v>
      </c>
      <c r="O145" s="498">
        <f t="shared" si="68"/>
        <v>114422.2</v>
      </c>
      <c r="P145" s="508"/>
      <c r="Q145" s="508"/>
      <c r="R145" s="508">
        <f t="shared" si="69"/>
        <v>114422.2</v>
      </c>
      <c r="S145" s="570">
        <f t="shared" si="70"/>
        <v>0</v>
      </c>
      <c r="T145" s="570">
        <f t="shared" si="71"/>
        <v>0</v>
      </c>
      <c r="U145" s="570">
        <f t="shared" si="71"/>
        <v>0</v>
      </c>
      <c r="V145" s="570">
        <f t="shared" si="71"/>
        <v>5721.110000000001</v>
      </c>
      <c r="W145" s="570">
        <f t="shared" si="72"/>
        <v>5721.110000000001</v>
      </c>
      <c r="X145" s="500">
        <v>1</v>
      </c>
      <c r="Y145" s="509" t="s">
        <v>456</v>
      </c>
      <c r="Z145" s="500">
        <v>1.84</v>
      </c>
      <c r="AA145" s="498">
        <f t="shared" si="73"/>
        <v>121697.6</v>
      </c>
      <c r="AB145" s="508"/>
      <c r="AC145" s="508">
        <f t="shared" si="74"/>
        <v>6084.880000000001</v>
      </c>
      <c r="AD145" s="508">
        <f t="shared" si="75"/>
        <v>127782.48000000001</v>
      </c>
      <c r="AE145" s="500">
        <v>1</v>
      </c>
      <c r="AF145" s="509" t="s">
        <v>457</v>
      </c>
      <c r="AG145" s="500">
        <v>1.9</v>
      </c>
      <c r="AH145" s="498">
        <f t="shared" si="76"/>
        <v>125666</v>
      </c>
      <c r="AI145" s="508"/>
      <c r="AJ145" s="508">
        <f t="shared" si="77"/>
        <v>6283.3</v>
      </c>
      <c r="AK145" s="508">
        <f t="shared" si="78"/>
        <v>131949.3</v>
      </c>
      <c r="AL145" s="510"/>
    </row>
    <row r="146" spans="1:38" ht="21" customHeight="1">
      <c r="A146" s="496">
        <v>6</v>
      </c>
      <c r="B146" s="585" t="s">
        <v>805</v>
      </c>
      <c r="C146" s="497" t="s">
        <v>806</v>
      </c>
      <c r="D146" s="520" t="s">
        <v>807</v>
      </c>
      <c r="E146" s="500">
        <v>1</v>
      </c>
      <c r="F146" s="509" t="s">
        <v>454</v>
      </c>
      <c r="G146" s="500">
        <v>1.79</v>
      </c>
      <c r="H146" s="498">
        <f t="shared" si="65"/>
        <v>118390.6</v>
      </c>
      <c r="I146" s="508"/>
      <c r="J146" s="508">
        <f t="shared" si="66"/>
        <v>5919.530000000001</v>
      </c>
      <c r="K146" s="508">
        <f t="shared" si="67"/>
        <v>124310.13</v>
      </c>
      <c r="L146" s="500">
        <v>1</v>
      </c>
      <c r="M146" s="509" t="s">
        <v>455</v>
      </c>
      <c r="N146" s="500">
        <v>1.79</v>
      </c>
      <c r="O146" s="498">
        <f t="shared" si="68"/>
        <v>118390.6</v>
      </c>
      <c r="P146" s="508"/>
      <c r="Q146" s="508"/>
      <c r="R146" s="508">
        <f t="shared" si="69"/>
        <v>118390.6</v>
      </c>
      <c r="S146" s="570">
        <f t="shared" si="70"/>
        <v>0</v>
      </c>
      <c r="T146" s="570">
        <f t="shared" si="71"/>
        <v>0</v>
      </c>
      <c r="U146" s="570">
        <f t="shared" si="71"/>
        <v>0</v>
      </c>
      <c r="V146" s="570">
        <f t="shared" si="71"/>
        <v>5919.530000000001</v>
      </c>
      <c r="W146" s="570">
        <f t="shared" si="72"/>
        <v>5919.530000000001</v>
      </c>
      <c r="X146" s="500">
        <v>1</v>
      </c>
      <c r="Y146" s="509" t="s">
        <v>456</v>
      </c>
      <c r="Z146" s="500">
        <v>1.84</v>
      </c>
      <c r="AA146" s="498">
        <f t="shared" si="73"/>
        <v>121697.6</v>
      </c>
      <c r="AB146" s="508"/>
      <c r="AC146" s="508">
        <f t="shared" si="74"/>
        <v>6084.880000000001</v>
      </c>
      <c r="AD146" s="508">
        <f t="shared" si="75"/>
        <v>127782.48000000001</v>
      </c>
      <c r="AE146" s="500">
        <v>1</v>
      </c>
      <c r="AF146" s="509" t="s">
        <v>457</v>
      </c>
      <c r="AG146" s="500">
        <v>1.9</v>
      </c>
      <c r="AH146" s="498">
        <f t="shared" si="76"/>
        <v>125666</v>
      </c>
      <c r="AI146" s="508"/>
      <c r="AJ146" s="508">
        <f t="shared" si="77"/>
        <v>6283.3</v>
      </c>
      <c r="AK146" s="508">
        <f t="shared" si="78"/>
        <v>131949.3</v>
      </c>
      <c r="AL146" s="510"/>
    </row>
    <row r="147" spans="1:38" ht="21" customHeight="1">
      <c r="A147" s="496"/>
      <c r="B147" s="583" t="s">
        <v>181</v>
      </c>
      <c r="C147" s="502" t="s">
        <v>1</v>
      </c>
      <c r="D147" s="502" t="s">
        <v>1</v>
      </c>
      <c r="E147" s="500">
        <f>SUM(E141:E146)</f>
        <v>6</v>
      </c>
      <c r="F147" s="508"/>
      <c r="G147" s="500"/>
      <c r="H147" s="500">
        <f>SUM(H141:H146)</f>
        <v>972257.9999999999</v>
      </c>
      <c r="I147" s="500">
        <f>SUM(I141:I146)</f>
        <v>0</v>
      </c>
      <c r="J147" s="500">
        <f>SUM(J141:J146)</f>
        <v>48612.9</v>
      </c>
      <c r="K147" s="500">
        <f>SUM(K141:K146)</f>
        <v>1020870.9</v>
      </c>
      <c r="L147" s="500">
        <f>SUM(L141:L146)</f>
        <v>6</v>
      </c>
      <c r="M147" s="508"/>
      <c r="N147" s="500"/>
      <c r="O147" s="500">
        <f>SUM(O141:O146)</f>
        <v>972257.9999999999</v>
      </c>
      <c r="P147" s="500">
        <f aca="true" t="shared" si="79" ref="P147:W147">SUM(P141:P146)</f>
        <v>0</v>
      </c>
      <c r="Q147" s="500">
        <f t="shared" si="79"/>
        <v>23215.14</v>
      </c>
      <c r="R147" s="500">
        <f t="shared" si="79"/>
        <v>995473.14</v>
      </c>
      <c r="S147" s="500">
        <f t="shared" si="79"/>
        <v>0</v>
      </c>
      <c r="T147" s="500">
        <f t="shared" si="79"/>
        <v>0</v>
      </c>
      <c r="U147" s="500">
        <f t="shared" si="79"/>
        <v>0</v>
      </c>
      <c r="V147" s="500">
        <f t="shared" si="79"/>
        <v>25397.760000000002</v>
      </c>
      <c r="W147" s="500">
        <f t="shared" si="79"/>
        <v>25397.760000000002</v>
      </c>
      <c r="X147" s="500">
        <f>SUM(X141:X146)</f>
        <v>6</v>
      </c>
      <c r="Y147" s="508"/>
      <c r="Z147" s="500"/>
      <c r="AA147" s="500">
        <f>SUM(AA141:AA146)</f>
        <v>997391.2</v>
      </c>
      <c r="AB147" s="500">
        <f>SUM(AB141:AB146)</f>
        <v>0</v>
      </c>
      <c r="AC147" s="500">
        <f>SUM(AC141:AC146)</f>
        <v>49869.56000000001</v>
      </c>
      <c r="AD147" s="506">
        <f>SUM(AD141:AD146)</f>
        <v>1047260.76</v>
      </c>
      <c r="AE147" s="500">
        <f>SUM(AE141:AE146)</f>
        <v>6</v>
      </c>
      <c r="AF147" s="508"/>
      <c r="AG147" s="500"/>
      <c r="AH147" s="500">
        <f>SUM(AH141:AH146)</f>
        <v>1013264.8</v>
      </c>
      <c r="AI147" s="500">
        <f>SUM(AI141:AI146)</f>
        <v>0</v>
      </c>
      <c r="AJ147" s="500">
        <f>SUM(AJ141:AJ146)</f>
        <v>50663.240000000005</v>
      </c>
      <c r="AK147" s="506">
        <f>SUM(AK141:AK146)</f>
        <v>1063928.04</v>
      </c>
      <c r="AL147" s="510"/>
    </row>
    <row r="148" spans="1:38" ht="51.75" customHeight="1">
      <c r="A148" s="496"/>
      <c r="B148" s="583" t="s">
        <v>182</v>
      </c>
      <c r="C148" s="502" t="s">
        <v>1</v>
      </c>
      <c r="D148" s="502" t="s">
        <v>1</v>
      </c>
      <c r="E148" s="517">
        <f>E147+E138+E124+E119+E114+E110+E101+E96+E91+E76+E70+E64+E55+E48+E42+E33+E129</f>
        <v>69</v>
      </c>
      <c r="F148" s="517"/>
      <c r="G148" s="517">
        <f aca="true" t="shared" si="80" ref="G148:AK148">G147+G138+G124+G119+G114+G110+G101+G96+G91+G76+G70+G64+G55+G48+G42+G33+G129</f>
        <v>0</v>
      </c>
      <c r="H148" s="517">
        <f t="shared" si="80"/>
        <v>16432483</v>
      </c>
      <c r="I148" s="517">
        <f t="shared" si="80"/>
        <v>0</v>
      </c>
      <c r="J148" s="517">
        <f t="shared" si="80"/>
        <v>742719.1299999999</v>
      </c>
      <c r="K148" s="517">
        <f t="shared" si="80"/>
        <v>17175202.13</v>
      </c>
      <c r="L148" s="517">
        <f t="shared" si="80"/>
        <v>69</v>
      </c>
      <c r="M148" s="517"/>
      <c r="N148" s="517">
        <f t="shared" si="80"/>
        <v>0</v>
      </c>
      <c r="O148" s="517">
        <f t="shared" si="80"/>
        <v>16254566.4</v>
      </c>
      <c r="P148" s="517">
        <f t="shared" si="80"/>
        <v>0</v>
      </c>
      <c r="Q148" s="517">
        <f t="shared" si="80"/>
        <v>500911.2900000001</v>
      </c>
      <c r="R148" s="517">
        <f t="shared" si="80"/>
        <v>16755477.690000001</v>
      </c>
      <c r="S148" s="517">
        <f t="shared" si="80"/>
        <v>0</v>
      </c>
      <c r="T148" s="517">
        <f t="shared" si="80"/>
        <v>177916.5999999999</v>
      </c>
      <c r="U148" s="517">
        <f t="shared" si="80"/>
        <v>0</v>
      </c>
      <c r="V148" s="517">
        <f t="shared" si="80"/>
        <v>241807.84000000003</v>
      </c>
      <c r="W148" s="517">
        <f t="shared" si="80"/>
        <v>419724.4399999998</v>
      </c>
      <c r="X148" s="517">
        <f>X147+X138+X124+X119+X114+X110+X101+X96+X91+X76+X70+X64+X55+X48+X42+X33+X129</f>
        <v>69</v>
      </c>
      <c r="Y148" s="517"/>
      <c r="Z148" s="517">
        <f>Z147+Z138+Z124+Z119+Z114+Z110+Z101+Z96+Z91+Z76+Z70+Z64+Z55+Z48+Z42+Z33+Z129</f>
        <v>0</v>
      </c>
      <c r="AA148" s="517">
        <f t="shared" si="80"/>
        <v>16628918.8</v>
      </c>
      <c r="AB148" s="517">
        <f t="shared" si="80"/>
        <v>0</v>
      </c>
      <c r="AC148" s="517">
        <f t="shared" si="80"/>
        <v>724927.4700000001</v>
      </c>
      <c r="AD148" s="517">
        <f t="shared" si="80"/>
        <v>17353846.270000003</v>
      </c>
      <c r="AE148" s="517">
        <f t="shared" si="80"/>
        <v>69</v>
      </c>
      <c r="AF148" s="517"/>
      <c r="AG148" s="517">
        <f t="shared" si="80"/>
        <v>0</v>
      </c>
      <c r="AH148" s="517">
        <f t="shared" si="80"/>
        <v>16814772.2</v>
      </c>
      <c r="AI148" s="517">
        <f t="shared" si="80"/>
        <v>0</v>
      </c>
      <c r="AJ148" s="517">
        <f t="shared" si="80"/>
        <v>733558.7399999999</v>
      </c>
      <c r="AK148" s="517">
        <f t="shared" si="80"/>
        <v>17548330.94</v>
      </c>
      <c r="AL148" s="510"/>
    </row>
    <row r="149" spans="1:37" ht="21" customHeight="1">
      <c r="A149" s="496"/>
      <c r="B149" s="503"/>
      <c r="C149" s="502"/>
      <c r="D149" s="502"/>
      <c r="E149" s="500"/>
      <c r="F149" s="508"/>
      <c r="G149" s="500"/>
      <c r="H149" s="508"/>
      <c r="I149" s="508"/>
      <c r="J149" s="508"/>
      <c r="K149" s="508"/>
      <c r="L149" s="500"/>
      <c r="M149" s="508"/>
      <c r="N149" s="500"/>
      <c r="O149" s="508"/>
      <c r="P149" s="508"/>
      <c r="Q149" s="508"/>
      <c r="R149" s="508"/>
      <c r="S149" s="570"/>
      <c r="T149" s="570"/>
      <c r="U149" s="570"/>
      <c r="V149" s="570"/>
      <c r="W149" s="570"/>
      <c r="X149" s="500"/>
      <c r="Y149" s="508"/>
      <c r="Z149" s="500"/>
      <c r="AA149" s="508"/>
      <c r="AB149" s="508"/>
      <c r="AC149" s="508"/>
      <c r="AD149" s="508"/>
      <c r="AE149" s="500"/>
      <c r="AF149" s="508"/>
      <c r="AG149" s="500"/>
      <c r="AH149" s="508"/>
      <c r="AI149" s="508"/>
      <c r="AJ149" s="508"/>
      <c r="AK149" s="508"/>
    </row>
    <row r="150" spans="1:37" ht="21" customHeight="1">
      <c r="A150" s="496"/>
      <c r="B150" s="500"/>
      <c r="C150" s="502"/>
      <c r="D150" s="502"/>
      <c r="E150" s="500"/>
      <c r="F150" s="508"/>
      <c r="G150" s="500"/>
      <c r="H150" s="508"/>
      <c r="I150" s="508"/>
      <c r="J150" s="508"/>
      <c r="K150" s="508"/>
      <c r="L150" s="500"/>
      <c r="M150" s="508"/>
      <c r="N150" s="500"/>
      <c r="O150" s="508"/>
      <c r="P150" s="508"/>
      <c r="Q150" s="508"/>
      <c r="R150" s="508"/>
      <c r="S150" s="570"/>
      <c r="T150" s="570"/>
      <c r="U150" s="570"/>
      <c r="V150" s="570"/>
      <c r="W150" s="570"/>
      <c r="X150" s="500"/>
      <c r="Y150" s="508"/>
      <c r="Z150" s="500"/>
      <c r="AA150" s="508"/>
      <c r="AB150" s="508"/>
      <c r="AC150" s="508"/>
      <c r="AD150" s="508"/>
      <c r="AE150" s="500"/>
      <c r="AF150" s="508"/>
      <c r="AG150" s="500"/>
      <c r="AH150" s="508"/>
      <c r="AI150" s="508"/>
      <c r="AJ150" s="508"/>
      <c r="AK150" s="508"/>
    </row>
    <row r="151" spans="1:37" ht="39" customHeight="1">
      <c r="A151" s="496" t="s">
        <v>5</v>
      </c>
      <c r="B151" s="497" t="s">
        <v>283</v>
      </c>
      <c r="C151" s="502"/>
      <c r="D151" s="502"/>
      <c r="E151" s="500"/>
      <c r="F151" s="508"/>
      <c r="G151" s="500"/>
      <c r="H151" s="508"/>
      <c r="I151" s="508"/>
      <c r="J151" s="508"/>
      <c r="K151" s="508"/>
      <c r="L151" s="500"/>
      <c r="M151" s="508"/>
      <c r="N151" s="500"/>
      <c r="O151" s="508"/>
      <c r="P151" s="508"/>
      <c r="Q151" s="508"/>
      <c r="R151" s="508"/>
      <c r="S151" s="570"/>
      <c r="T151" s="570"/>
      <c r="U151" s="570"/>
      <c r="V151" s="570"/>
      <c r="W151" s="570"/>
      <c r="X151" s="500"/>
      <c r="Y151" s="508"/>
      <c r="Z151" s="500"/>
      <c r="AA151" s="508"/>
      <c r="AB151" s="508"/>
      <c r="AC151" s="508"/>
      <c r="AD151" s="508"/>
      <c r="AE151" s="500"/>
      <c r="AF151" s="508"/>
      <c r="AG151" s="500"/>
      <c r="AH151" s="508"/>
      <c r="AI151" s="508"/>
      <c r="AJ151" s="508"/>
      <c r="AK151" s="508"/>
    </row>
    <row r="152" spans="1:37" ht="21" customHeight="1">
      <c r="A152" s="496"/>
      <c r="B152" s="506" t="s">
        <v>156</v>
      </c>
      <c r="C152" s="502"/>
      <c r="D152" s="502"/>
      <c r="E152" s="500"/>
      <c r="F152" s="508"/>
      <c r="G152" s="500"/>
      <c r="H152" s="508"/>
      <c r="I152" s="508"/>
      <c r="J152" s="508"/>
      <c r="K152" s="508"/>
      <c r="L152" s="500"/>
      <c r="M152" s="508"/>
      <c r="N152" s="500"/>
      <c r="O152" s="508"/>
      <c r="P152" s="508"/>
      <c r="Q152" s="508"/>
      <c r="R152" s="508"/>
      <c r="S152" s="570"/>
      <c r="T152" s="570"/>
      <c r="U152" s="570"/>
      <c r="V152" s="570"/>
      <c r="W152" s="570"/>
      <c r="X152" s="500"/>
      <c r="Y152" s="508"/>
      <c r="Z152" s="500"/>
      <c r="AA152" s="508"/>
      <c r="AB152" s="508"/>
      <c r="AC152" s="508"/>
      <c r="AD152" s="508"/>
      <c r="AE152" s="500"/>
      <c r="AF152" s="508"/>
      <c r="AG152" s="500"/>
      <c r="AH152" s="508"/>
      <c r="AI152" s="508"/>
      <c r="AJ152" s="508"/>
      <c r="AK152" s="508"/>
    </row>
    <row r="153" spans="1:37" ht="26.25" customHeight="1">
      <c r="A153" s="496"/>
      <c r="B153" s="513" t="s">
        <v>808</v>
      </c>
      <c r="C153" s="502"/>
      <c r="D153" s="502"/>
      <c r="E153" s="500"/>
      <c r="F153" s="508"/>
      <c r="G153" s="500"/>
      <c r="H153" s="508"/>
      <c r="I153" s="508"/>
      <c r="J153" s="508"/>
      <c r="K153" s="508"/>
      <c r="L153" s="500"/>
      <c r="M153" s="508"/>
      <c r="N153" s="500"/>
      <c r="O153" s="508"/>
      <c r="P153" s="508"/>
      <c r="Q153" s="508"/>
      <c r="R153" s="508"/>
      <c r="S153" s="570"/>
      <c r="T153" s="570"/>
      <c r="U153" s="570"/>
      <c r="V153" s="570"/>
      <c r="W153" s="570"/>
      <c r="X153" s="500"/>
      <c r="Y153" s="508"/>
      <c r="Z153" s="500"/>
      <c r="AA153" s="508"/>
      <c r="AB153" s="508"/>
      <c r="AC153" s="508"/>
      <c r="AD153" s="508"/>
      <c r="AE153" s="500"/>
      <c r="AF153" s="508"/>
      <c r="AG153" s="500"/>
      <c r="AH153" s="508"/>
      <c r="AI153" s="508"/>
      <c r="AJ153" s="508"/>
      <c r="AK153" s="508"/>
    </row>
    <row r="154" spans="1:37" ht="36" customHeight="1">
      <c r="A154" s="496">
        <v>1</v>
      </c>
      <c r="B154" s="506" t="s">
        <v>809</v>
      </c>
      <c r="C154" s="518" t="s">
        <v>810</v>
      </c>
      <c r="D154" s="502"/>
      <c r="E154" s="500">
        <v>1</v>
      </c>
      <c r="F154" s="508"/>
      <c r="G154" s="500">
        <v>4.75</v>
      </c>
      <c r="H154" s="498">
        <f>G154*66140*E154</f>
        <v>314165</v>
      </c>
      <c r="I154" s="508"/>
      <c r="J154" s="508"/>
      <c r="K154" s="508">
        <f>H154+I154+J154</f>
        <v>314165</v>
      </c>
      <c r="L154" s="500">
        <v>1</v>
      </c>
      <c r="M154" s="508"/>
      <c r="N154" s="500">
        <v>4.75</v>
      </c>
      <c r="O154" s="498">
        <f>N154*66140*L154</f>
        <v>314165</v>
      </c>
      <c r="P154" s="508"/>
      <c r="Q154" s="508"/>
      <c r="R154" s="508">
        <f>O154+P154+Q154</f>
        <v>314165</v>
      </c>
      <c r="S154" s="570"/>
      <c r="T154" s="570"/>
      <c r="U154" s="570"/>
      <c r="V154" s="570"/>
      <c r="W154" s="570"/>
      <c r="X154" s="500">
        <v>1</v>
      </c>
      <c r="Y154" s="508"/>
      <c r="Z154" s="500">
        <v>4.75</v>
      </c>
      <c r="AA154" s="498">
        <f>Z154*66140*X154</f>
        <v>314165</v>
      </c>
      <c r="AB154" s="508"/>
      <c r="AC154" s="508"/>
      <c r="AD154" s="508">
        <f>AA154+AB154+AC154</f>
        <v>314165</v>
      </c>
      <c r="AE154" s="500">
        <v>1</v>
      </c>
      <c r="AF154" s="508"/>
      <c r="AG154" s="500">
        <v>4.75</v>
      </c>
      <c r="AH154" s="498">
        <f>AG154*66140*AE154</f>
        <v>314165</v>
      </c>
      <c r="AI154" s="508"/>
      <c r="AJ154" s="508"/>
      <c r="AK154" s="508">
        <f>AH154+AI154+AJ154</f>
        <v>314165</v>
      </c>
    </row>
    <row r="155" spans="1:37" ht="36" customHeight="1">
      <c r="A155" s="496">
        <v>2</v>
      </c>
      <c r="B155" s="506" t="s">
        <v>811</v>
      </c>
      <c r="C155" s="518" t="s">
        <v>812</v>
      </c>
      <c r="D155" s="502"/>
      <c r="E155" s="500">
        <v>0.375</v>
      </c>
      <c r="F155" s="508"/>
      <c r="G155" s="500">
        <v>4.75</v>
      </c>
      <c r="H155" s="498">
        <f>G155*66140*E155</f>
        <v>117811.875</v>
      </c>
      <c r="I155" s="508"/>
      <c r="J155" s="508"/>
      <c r="K155" s="508">
        <f>H155+I155+J155</f>
        <v>117811.875</v>
      </c>
      <c r="L155" s="500">
        <v>0.375</v>
      </c>
      <c r="M155" s="508"/>
      <c r="N155" s="500">
        <v>4.75</v>
      </c>
      <c r="O155" s="498">
        <f>N155*66140*L155</f>
        <v>117811.875</v>
      </c>
      <c r="P155" s="508"/>
      <c r="Q155" s="508"/>
      <c r="R155" s="508">
        <f>O155+P155+Q155</f>
        <v>117811.875</v>
      </c>
      <c r="S155" s="570"/>
      <c r="T155" s="570"/>
      <c r="U155" s="570"/>
      <c r="V155" s="570"/>
      <c r="W155" s="570"/>
      <c r="X155" s="500">
        <v>0.375</v>
      </c>
      <c r="Y155" s="508"/>
      <c r="Z155" s="500">
        <v>4.75</v>
      </c>
      <c r="AA155" s="498">
        <f>Z155*66140*X155</f>
        <v>117811.875</v>
      </c>
      <c r="AB155" s="508"/>
      <c r="AC155" s="508"/>
      <c r="AD155" s="508">
        <f>AA155+AB155+AC155</f>
        <v>117811.875</v>
      </c>
      <c r="AE155" s="500">
        <v>0.375</v>
      </c>
      <c r="AF155" s="508"/>
      <c r="AG155" s="500">
        <v>4.75</v>
      </c>
      <c r="AH155" s="498">
        <f>AG155*66140*AE155</f>
        <v>117811.875</v>
      </c>
      <c r="AI155" s="508"/>
      <c r="AJ155" s="508"/>
      <c r="AK155" s="508">
        <f>AH155+AI155+AJ155</f>
        <v>117811.875</v>
      </c>
    </row>
    <row r="156" spans="1:37" ht="36" customHeight="1">
      <c r="A156" s="496">
        <v>3</v>
      </c>
      <c r="B156" s="506" t="s">
        <v>813</v>
      </c>
      <c r="C156" s="518" t="s">
        <v>814</v>
      </c>
      <c r="D156" s="502"/>
      <c r="E156" s="500">
        <v>0.625</v>
      </c>
      <c r="F156" s="508"/>
      <c r="G156" s="500">
        <v>4.75</v>
      </c>
      <c r="H156" s="498">
        <f>G156*66140*E156</f>
        <v>196353.125</v>
      </c>
      <c r="I156" s="508"/>
      <c r="J156" s="508"/>
      <c r="K156" s="508">
        <f>H156+I156+J156</f>
        <v>196353.125</v>
      </c>
      <c r="L156" s="500">
        <v>0.625</v>
      </c>
      <c r="M156" s="508"/>
      <c r="N156" s="500">
        <v>4.75</v>
      </c>
      <c r="O156" s="498">
        <f>N156*66140*L156</f>
        <v>196353.125</v>
      </c>
      <c r="P156" s="508"/>
      <c r="Q156" s="508"/>
      <c r="R156" s="508">
        <f>O156+P156+Q156</f>
        <v>196353.125</v>
      </c>
      <c r="S156" s="570"/>
      <c r="T156" s="570"/>
      <c r="U156" s="570"/>
      <c r="V156" s="570"/>
      <c r="W156" s="570"/>
      <c r="X156" s="500">
        <v>0.625</v>
      </c>
      <c r="Y156" s="508"/>
      <c r="Z156" s="500">
        <v>4.75</v>
      </c>
      <c r="AA156" s="498">
        <f>Z156*66140*X156</f>
        <v>196353.125</v>
      </c>
      <c r="AB156" s="508"/>
      <c r="AC156" s="508"/>
      <c r="AD156" s="508">
        <f>AA156+AB156+AC156</f>
        <v>196353.125</v>
      </c>
      <c r="AE156" s="500">
        <v>0.625</v>
      </c>
      <c r="AF156" s="508"/>
      <c r="AG156" s="500">
        <v>4.75</v>
      </c>
      <c r="AH156" s="498">
        <f>AG156*66140*AE156</f>
        <v>196353.125</v>
      </c>
      <c r="AI156" s="508"/>
      <c r="AJ156" s="508"/>
      <c r="AK156" s="508">
        <f>AH156+AI156+AJ156</f>
        <v>196353.125</v>
      </c>
    </row>
    <row r="157" spans="1:37" ht="36" customHeight="1">
      <c r="A157" s="496"/>
      <c r="B157" s="506"/>
      <c r="C157" s="518"/>
      <c r="D157" s="502"/>
      <c r="E157" s="498">
        <f>SUM(E154:E156)</f>
        <v>2</v>
      </c>
      <c r="F157" s="498">
        <f aca="true" t="shared" si="81" ref="F157:AK157">SUM(F154:F156)</f>
        <v>0</v>
      </c>
      <c r="G157" s="498">
        <f t="shared" si="81"/>
        <v>14.25</v>
      </c>
      <c r="H157" s="498">
        <f t="shared" si="81"/>
        <v>628330</v>
      </c>
      <c r="I157" s="498">
        <f t="shared" si="81"/>
        <v>0</v>
      </c>
      <c r="J157" s="498">
        <f t="shared" si="81"/>
        <v>0</v>
      </c>
      <c r="K157" s="498">
        <f t="shared" si="81"/>
        <v>628330</v>
      </c>
      <c r="L157" s="498">
        <f t="shared" si="81"/>
        <v>2</v>
      </c>
      <c r="M157" s="498">
        <f t="shared" si="81"/>
        <v>0</v>
      </c>
      <c r="N157" s="498"/>
      <c r="O157" s="498">
        <f t="shared" si="81"/>
        <v>628330</v>
      </c>
      <c r="P157" s="498">
        <f t="shared" si="81"/>
        <v>0</v>
      </c>
      <c r="Q157" s="498">
        <f t="shared" si="81"/>
        <v>0</v>
      </c>
      <c r="R157" s="498">
        <f t="shared" si="81"/>
        <v>628330</v>
      </c>
      <c r="S157" s="498">
        <f t="shared" si="81"/>
        <v>0</v>
      </c>
      <c r="T157" s="498">
        <f t="shared" si="81"/>
        <v>0</v>
      </c>
      <c r="U157" s="498">
        <f t="shared" si="81"/>
        <v>0</v>
      </c>
      <c r="V157" s="498">
        <f t="shared" si="81"/>
        <v>0</v>
      </c>
      <c r="W157" s="498">
        <f t="shared" si="81"/>
        <v>0</v>
      </c>
      <c r="X157" s="498">
        <f t="shared" si="81"/>
        <v>2</v>
      </c>
      <c r="Y157" s="498">
        <f t="shared" si="81"/>
        <v>0</v>
      </c>
      <c r="Z157" s="498"/>
      <c r="AA157" s="498">
        <f t="shared" si="81"/>
        <v>628330</v>
      </c>
      <c r="AB157" s="498">
        <f t="shared" si="81"/>
        <v>0</v>
      </c>
      <c r="AC157" s="498">
        <f t="shared" si="81"/>
        <v>0</v>
      </c>
      <c r="AD157" s="498">
        <f t="shared" si="81"/>
        <v>628330</v>
      </c>
      <c r="AE157" s="498">
        <f t="shared" si="81"/>
        <v>2</v>
      </c>
      <c r="AF157" s="498">
        <f t="shared" si="81"/>
        <v>0</v>
      </c>
      <c r="AG157" s="498"/>
      <c r="AH157" s="498">
        <f t="shared" si="81"/>
        <v>628330</v>
      </c>
      <c r="AI157" s="498">
        <f t="shared" si="81"/>
        <v>0</v>
      </c>
      <c r="AJ157" s="498">
        <f t="shared" si="81"/>
        <v>0</v>
      </c>
      <c r="AK157" s="498">
        <f t="shared" si="81"/>
        <v>628330</v>
      </c>
    </row>
    <row r="158" spans="1:37" ht="36" customHeight="1">
      <c r="A158" s="496"/>
      <c r="B158" s="513" t="s">
        <v>815</v>
      </c>
      <c r="C158" s="518"/>
      <c r="D158" s="502"/>
      <c r="E158" s="500"/>
      <c r="F158" s="508"/>
      <c r="G158" s="500"/>
      <c r="H158" s="508"/>
      <c r="I158" s="508"/>
      <c r="J158" s="508"/>
      <c r="K158" s="508"/>
      <c r="L158" s="500"/>
      <c r="M158" s="508"/>
      <c r="N158" s="500"/>
      <c r="O158" s="508"/>
      <c r="P158" s="508"/>
      <c r="Q158" s="508"/>
      <c r="R158" s="508"/>
      <c r="S158" s="570"/>
      <c r="T158" s="570"/>
      <c r="U158" s="570"/>
      <c r="V158" s="570"/>
      <c r="W158" s="570"/>
      <c r="X158" s="500"/>
      <c r="Y158" s="508"/>
      <c r="Z158" s="500"/>
      <c r="AA158" s="508"/>
      <c r="AB158" s="508"/>
      <c r="AC158" s="508"/>
      <c r="AD158" s="508"/>
      <c r="AE158" s="500"/>
      <c r="AF158" s="508"/>
      <c r="AG158" s="500"/>
      <c r="AH158" s="508"/>
      <c r="AI158" s="508"/>
      <c r="AJ158" s="508"/>
      <c r="AK158" s="508"/>
    </row>
    <row r="159" spans="1:37" ht="21" customHeight="1">
      <c r="A159" s="496">
        <v>1</v>
      </c>
      <c r="B159" s="593" t="s">
        <v>816</v>
      </c>
      <c r="C159" s="593" t="s">
        <v>817</v>
      </c>
      <c r="D159" s="502" t="s">
        <v>1</v>
      </c>
      <c r="E159" s="500">
        <v>1</v>
      </c>
      <c r="F159" s="500"/>
      <c r="G159" s="500">
        <v>1.6</v>
      </c>
      <c r="H159" s="508">
        <f>G159*66140</f>
        <v>105824</v>
      </c>
      <c r="I159" s="508"/>
      <c r="J159" s="508"/>
      <c r="K159" s="508">
        <f aca="true" t="shared" si="82" ref="K159:K169">H159*E159+I159+J159</f>
        <v>105824</v>
      </c>
      <c r="L159" s="500">
        <v>1</v>
      </c>
      <c r="M159" s="500"/>
      <c r="N159" s="500">
        <v>1.6</v>
      </c>
      <c r="O159" s="508">
        <f>N159*66140</f>
        <v>105824</v>
      </c>
      <c r="P159" s="508"/>
      <c r="Q159" s="508"/>
      <c r="R159" s="508">
        <f aca="true" t="shared" si="83" ref="R159:R169">O159*L159+P159+Q159</f>
        <v>105824</v>
      </c>
      <c r="S159" s="570">
        <f aca="true" t="shared" si="84" ref="S159:S169">+E159-L159</f>
        <v>0</v>
      </c>
      <c r="T159" s="570">
        <f aca="true" t="shared" si="85" ref="T159:T169">H159-O159</f>
        <v>0</v>
      </c>
      <c r="U159" s="570">
        <f aca="true" t="shared" si="86" ref="U159:U169">I159-P159</f>
        <v>0</v>
      </c>
      <c r="V159" s="570">
        <f aca="true" t="shared" si="87" ref="V159:V169">J159-Q159</f>
        <v>0</v>
      </c>
      <c r="W159" s="570">
        <f aca="true" t="shared" si="88" ref="W159:W169">T159+U159+V159</f>
        <v>0</v>
      </c>
      <c r="X159" s="500">
        <v>1</v>
      </c>
      <c r="Y159" s="500"/>
      <c r="Z159" s="500">
        <v>1.6</v>
      </c>
      <c r="AA159" s="508">
        <f>Z159*66140</f>
        <v>105824</v>
      </c>
      <c r="AB159" s="508"/>
      <c r="AC159" s="508"/>
      <c r="AD159" s="508">
        <f aca="true" t="shared" si="89" ref="AD159:AD169">AA159*X159+AB159+AC159</f>
        <v>105824</v>
      </c>
      <c r="AE159" s="500">
        <v>1</v>
      </c>
      <c r="AF159" s="500"/>
      <c r="AG159" s="500">
        <v>1.6</v>
      </c>
      <c r="AH159" s="508">
        <f>AG159*66140</f>
        <v>105824</v>
      </c>
      <c r="AI159" s="508"/>
      <c r="AJ159" s="508"/>
      <c r="AK159" s="508">
        <f aca="true" t="shared" si="90" ref="AK159:AK169">AH159*AE159+AI159+AJ159</f>
        <v>105824</v>
      </c>
    </row>
    <row r="160" spans="1:37" ht="21" customHeight="1">
      <c r="A160" s="496">
        <v>2</v>
      </c>
      <c r="B160" s="593" t="s">
        <v>818</v>
      </c>
      <c r="C160" s="593" t="s">
        <v>817</v>
      </c>
      <c r="D160" s="502" t="s">
        <v>1</v>
      </c>
      <c r="E160" s="500">
        <v>1</v>
      </c>
      <c r="F160" s="500"/>
      <c r="G160" s="500">
        <v>1.6</v>
      </c>
      <c r="H160" s="508">
        <f>G160*66140</f>
        <v>105824</v>
      </c>
      <c r="I160" s="508"/>
      <c r="J160" s="508"/>
      <c r="K160" s="508">
        <f t="shared" si="82"/>
        <v>105824</v>
      </c>
      <c r="L160" s="500">
        <v>1</v>
      </c>
      <c r="M160" s="500"/>
      <c r="N160" s="500">
        <v>1.6</v>
      </c>
      <c r="O160" s="508">
        <f>N160*66140</f>
        <v>105824</v>
      </c>
      <c r="P160" s="508"/>
      <c r="Q160" s="508"/>
      <c r="R160" s="508">
        <f t="shared" si="83"/>
        <v>105824</v>
      </c>
      <c r="S160" s="570">
        <f t="shared" si="84"/>
        <v>0</v>
      </c>
      <c r="T160" s="570">
        <f t="shared" si="85"/>
        <v>0</v>
      </c>
      <c r="U160" s="570">
        <f t="shared" si="86"/>
        <v>0</v>
      </c>
      <c r="V160" s="570">
        <f t="shared" si="87"/>
        <v>0</v>
      </c>
      <c r="W160" s="570">
        <f t="shared" si="88"/>
        <v>0</v>
      </c>
      <c r="X160" s="500">
        <v>1</v>
      </c>
      <c r="Y160" s="500"/>
      <c r="Z160" s="500">
        <v>1.6</v>
      </c>
      <c r="AA160" s="508">
        <f>Z160*66140</f>
        <v>105824</v>
      </c>
      <c r="AB160" s="508"/>
      <c r="AC160" s="508"/>
      <c r="AD160" s="508">
        <f t="shared" si="89"/>
        <v>105824</v>
      </c>
      <c r="AE160" s="500">
        <v>1</v>
      </c>
      <c r="AF160" s="500"/>
      <c r="AG160" s="500">
        <v>1.6</v>
      </c>
      <c r="AH160" s="508">
        <f>AG160*66140</f>
        <v>105824</v>
      </c>
      <c r="AI160" s="508"/>
      <c r="AJ160" s="508"/>
      <c r="AK160" s="508">
        <f t="shared" si="90"/>
        <v>105824</v>
      </c>
    </row>
    <row r="161" spans="1:37" ht="21" customHeight="1">
      <c r="A161" s="496">
        <v>3</v>
      </c>
      <c r="B161" s="593" t="s">
        <v>819</v>
      </c>
      <c r="C161" s="593" t="s">
        <v>820</v>
      </c>
      <c r="D161" s="502"/>
      <c r="E161" s="500">
        <v>1</v>
      </c>
      <c r="F161" s="500"/>
      <c r="G161" s="500">
        <v>1.25</v>
      </c>
      <c r="H161" s="508">
        <v>88312</v>
      </c>
      <c r="I161" s="508"/>
      <c r="J161" s="508"/>
      <c r="K161" s="508">
        <f t="shared" si="82"/>
        <v>88312</v>
      </c>
      <c r="L161" s="500">
        <v>1</v>
      </c>
      <c r="M161" s="500"/>
      <c r="N161" s="500">
        <v>1.25</v>
      </c>
      <c r="O161" s="508">
        <v>88312</v>
      </c>
      <c r="P161" s="508"/>
      <c r="Q161" s="508"/>
      <c r="R161" s="508">
        <f t="shared" si="83"/>
        <v>88312</v>
      </c>
      <c r="S161" s="570">
        <f t="shared" si="84"/>
        <v>0</v>
      </c>
      <c r="T161" s="570">
        <f t="shared" si="85"/>
        <v>0</v>
      </c>
      <c r="U161" s="570">
        <f t="shared" si="86"/>
        <v>0</v>
      </c>
      <c r="V161" s="570">
        <f t="shared" si="87"/>
        <v>0</v>
      </c>
      <c r="W161" s="570">
        <f t="shared" si="88"/>
        <v>0</v>
      </c>
      <c r="X161" s="500">
        <v>1</v>
      </c>
      <c r="Y161" s="500"/>
      <c r="Z161" s="500">
        <v>1.25</v>
      </c>
      <c r="AA161" s="508">
        <v>88312</v>
      </c>
      <c r="AB161" s="508"/>
      <c r="AC161" s="508"/>
      <c r="AD161" s="508">
        <f t="shared" si="89"/>
        <v>88312</v>
      </c>
      <c r="AE161" s="500">
        <v>1</v>
      </c>
      <c r="AF161" s="500"/>
      <c r="AG161" s="500">
        <v>1.25</v>
      </c>
      <c r="AH161" s="508">
        <v>88312</v>
      </c>
      <c r="AI161" s="508"/>
      <c r="AJ161" s="508"/>
      <c r="AK161" s="508">
        <f t="shared" si="90"/>
        <v>88312</v>
      </c>
    </row>
    <row r="162" spans="1:37" ht="21" customHeight="1">
      <c r="A162" s="496">
        <v>4</v>
      </c>
      <c r="B162" s="593" t="s">
        <v>821</v>
      </c>
      <c r="C162" s="593" t="s">
        <v>822</v>
      </c>
      <c r="D162" s="502"/>
      <c r="E162" s="500">
        <v>0.5</v>
      </c>
      <c r="F162" s="500"/>
      <c r="G162" s="500">
        <v>1.25</v>
      </c>
      <c r="H162" s="508">
        <f>G162*66140</f>
        <v>82675</v>
      </c>
      <c r="I162" s="508"/>
      <c r="J162" s="508"/>
      <c r="K162" s="508">
        <f t="shared" si="82"/>
        <v>41337.5</v>
      </c>
      <c r="L162" s="500">
        <v>0.5</v>
      </c>
      <c r="M162" s="500"/>
      <c r="N162" s="500">
        <v>1.25</v>
      </c>
      <c r="O162" s="508">
        <f>N162*66140</f>
        <v>82675</v>
      </c>
      <c r="P162" s="508"/>
      <c r="Q162" s="508"/>
      <c r="R162" s="508">
        <f t="shared" si="83"/>
        <v>41337.5</v>
      </c>
      <c r="S162" s="570">
        <f t="shared" si="84"/>
        <v>0</v>
      </c>
      <c r="T162" s="570">
        <f t="shared" si="85"/>
        <v>0</v>
      </c>
      <c r="U162" s="570">
        <f t="shared" si="86"/>
        <v>0</v>
      </c>
      <c r="V162" s="570">
        <f t="shared" si="87"/>
        <v>0</v>
      </c>
      <c r="W162" s="570">
        <f t="shared" si="88"/>
        <v>0</v>
      </c>
      <c r="X162" s="500">
        <v>0.5</v>
      </c>
      <c r="Y162" s="500"/>
      <c r="Z162" s="500">
        <v>1.25</v>
      </c>
      <c r="AA162" s="508">
        <f>Z162*66140</f>
        <v>82675</v>
      </c>
      <c r="AB162" s="508"/>
      <c r="AC162" s="508"/>
      <c r="AD162" s="508">
        <f t="shared" si="89"/>
        <v>41337.5</v>
      </c>
      <c r="AE162" s="500">
        <v>0.5</v>
      </c>
      <c r="AF162" s="500"/>
      <c r="AG162" s="500">
        <v>1.25</v>
      </c>
      <c r="AH162" s="508">
        <f>AG162*66140</f>
        <v>82675</v>
      </c>
      <c r="AI162" s="508"/>
      <c r="AJ162" s="508"/>
      <c r="AK162" s="508">
        <f t="shared" si="90"/>
        <v>41337.5</v>
      </c>
    </row>
    <row r="163" spans="1:37" ht="21" customHeight="1">
      <c r="A163" s="496">
        <v>5</v>
      </c>
      <c r="B163" s="593" t="s">
        <v>823</v>
      </c>
      <c r="C163" s="593" t="s">
        <v>822</v>
      </c>
      <c r="D163" s="502"/>
      <c r="E163" s="500">
        <v>0.5</v>
      </c>
      <c r="F163" s="500"/>
      <c r="G163" s="500">
        <v>1.25</v>
      </c>
      <c r="H163" s="508">
        <f>G163*66140</f>
        <v>82675</v>
      </c>
      <c r="I163" s="508"/>
      <c r="J163" s="508"/>
      <c r="K163" s="508">
        <f t="shared" si="82"/>
        <v>41337.5</v>
      </c>
      <c r="L163" s="500">
        <v>0.5</v>
      </c>
      <c r="M163" s="500"/>
      <c r="N163" s="500">
        <v>1.25</v>
      </c>
      <c r="O163" s="508">
        <f>N163*66140</f>
        <v>82675</v>
      </c>
      <c r="P163" s="508"/>
      <c r="Q163" s="508"/>
      <c r="R163" s="508">
        <f t="shared" si="83"/>
        <v>41337.5</v>
      </c>
      <c r="S163" s="570">
        <f t="shared" si="84"/>
        <v>0</v>
      </c>
      <c r="T163" s="570">
        <f t="shared" si="85"/>
        <v>0</v>
      </c>
      <c r="U163" s="570">
        <f t="shared" si="86"/>
        <v>0</v>
      </c>
      <c r="V163" s="570">
        <f t="shared" si="87"/>
        <v>0</v>
      </c>
      <c r="W163" s="570">
        <f t="shared" si="88"/>
        <v>0</v>
      </c>
      <c r="X163" s="500">
        <v>0.5</v>
      </c>
      <c r="Y163" s="500"/>
      <c r="Z163" s="500">
        <v>1.25</v>
      </c>
      <c r="AA163" s="508">
        <f>Z163*66140</f>
        <v>82675</v>
      </c>
      <c r="AB163" s="508"/>
      <c r="AC163" s="508"/>
      <c r="AD163" s="508">
        <f t="shared" si="89"/>
        <v>41337.5</v>
      </c>
      <c r="AE163" s="500">
        <v>0.5</v>
      </c>
      <c r="AF163" s="500"/>
      <c r="AG163" s="500">
        <v>1.25</v>
      </c>
      <c r="AH163" s="508">
        <f>AG163*66140</f>
        <v>82675</v>
      </c>
      <c r="AI163" s="508"/>
      <c r="AJ163" s="508"/>
      <c r="AK163" s="508">
        <f t="shared" si="90"/>
        <v>41337.5</v>
      </c>
    </row>
    <row r="164" spans="1:37" ht="21" customHeight="1">
      <c r="A164" s="496">
        <v>6</v>
      </c>
      <c r="B164" s="593" t="s">
        <v>824</v>
      </c>
      <c r="C164" s="593" t="s">
        <v>825</v>
      </c>
      <c r="D164" s="502"/>
      <c r="E164" s="500">
        <v>1</v>
      </c>
      <c r="F164" s="500"/>
      <c r="G164" s="500">
        <v>1.1</v>
      </c>
      <c r="H164" s="508">
        <v>91200</v>
      </c>
      <c r="I164" s="508"/>
      <c r="J164" s="508">
        <v>30120</v>
      </c>
      <c r="K164" s="508">
        <f t="shared" si="82"/>
        <v>121320</v>
      </c>
      <c r="L164" s="500">
        <v>1</v>
      </c>
      <c r="M164" s="500"/>
      <c r="N164" s="500">
        <v>1.1</v>
      </c>
      <c r="O164" s="508">
        <v>91200</v>
      </c>
      <c r="P164" s="508"/>
      <c r="Q164" s="508">
        <v>30120</v>
      </c>
      <c r="R164" s="508">
        <f t="shared" si="83"/>
        <v>121320</v>
      </c>
      <c r="S164" s="570">
        <f t="shared" si="84"/>
        <v>0</v>
      </c>
      <c r="T164" s="570">
        <f t="shared" si="85"/>
        <v>0</v>
      </c>
      <c r="U164" s="570">
        <f t="shared" si="86"/>
        <v>0</v>
      </c>
      <c r="V164" s="570">
        <f t="shared" si="87"/>
        <v>0</v>
      </c>
      <c r="W164" s="570">
        <f t="shared" si="88"/>
        <v>0</v>
      </c>
      <c r="X164" s="500">
        <v>1</v>
      </c>
      <c r="Y164" s="500"/>
      <c r="Z164" s="500">
        <v>1.1</v>
      </c>
      <c r="AA164" s="508">
        <v>91200</v>
      </c>
      <c r="AB164" s="508"/>
      <c r="AC164" s="508">
        <v>30120</v>
      </c>
      <c r="AD164" s="508">
        <f t="shared" si="89"/>
        <v>121320</v>
      </c>
      <c r="AE164" s="500">
        <v>1</v>
      </c>
      <c r="AF164" s="500"/>
      <c r="AG164" s="500">
        <v>1.1</v>
      </c>
      <c r="AH164" s="508">
        <v>91200</v>
      </c>
      <c r="AI164" s="508"/>
      <c r="AJ164" s="508">
        <v>30120</v>
      </c>
      <c r="AK164" s="508">
        <f t="shared" si="90"/>
        <v>121320</v>
      </c>
    </row>
    <row r="165" spans="1:37" ht="21" customHeight="1">
      <c r="A165" s="496">
        <v>7</v>
      </c>
      <c r="B165" s="593" t="s">
        <v>826</v>
      </c>
      <c r="C165" s="593" t="s">
        <v>827</v>
      </c>
      <c r="D165" s="502"/>
      <c r="E165" s="500">
        <v>0.5</v>
      </c>
      <c r="F165" s="500"/>
      <c r="G165" s="500">
        <v>1</v>
      </c>
      <c r="H165" s="508">
        <v>88230</v>
      </c>
      <c r="I165" s="508"/>
      <c r="J165" s="508"/>
      <c r="K165" s="508">
        <f t="shared" si="82"/>
        <v>44115</v>
      </c>
      <c r="L165" s="500">
        <v>0.5</v>
      </c>
      <c r="M165" s="500"/>
      <c r="N165" s="500">
        <v>1</v>
      </c>
      <c r="O165" s="508">
        <v>88230</v>
      </c>
      <c r="P165" s="508"/>
      <c r="Q165" s="508"/>
      <c r="R165" s="508">
        <f t="shared" si="83"/>
        <v>44115</v>
      </c>
      <c r="S165" s="570">
        <f t="shared" si="84"/>
        <v>0</v>
      </c>
      <c r="T165" s="570">
        <f t="shared" si="85"/>
        <v>0</v>
      </c>
      <c r="U165" s="570">
        <f t="shared" si="86"/>
        <v>0</v>
      </c>
      <c r="V165" s="570">
        <f t="shared" si="87"/>
        <v>0</v>
      </c>
      <c r="W165" s="570">
        <f t="shared" si="88"/>
        <v>0</v>
      </c>
      <c r="X165" s="500">
        <v>0.5</v>
      </c>
      <c r="Y165" s="500"/>
      <c r="Z165" s="500">
        <v>1</v>
      </c>
      <c r="AA165" s="508">
        <v>88230</v>
      </c>
      <c r="AB165" s="508"/>
      <c r="AC165" s="508"/>
      <c r="AD165" s="508">
        <f t="shared" si="89"/>
        <v>44115</v>
      </c>
      <c r="AE165" s="500">
        <v>0.5</v>
      </c>
      <c r="AF165" s="500"/>
      <c r="AG165" s="500">
        <v>1</v>
      </c>
      <c r="AH165" s="508">
        <v>88230</v>
      </c>
      <c r="AI165" s="508"/>
      <c r="AJ165" s="508"/>
      <c r="AK165" s="508">
        <f t="shared" si="90"/>
        <v>44115</v>
      </c>
    </row>
    <row r="166" spans="1:37" ht="21" customHeight="1">
      <c r="A166" s="496">
        <v>8</v>
      </c>
      <c r="B166" s="593" t="s">
        <v>828</v>
      </c>
      <c r="C166" s="593" t="s">
        <v>827</v>
      </c>
      <c r="D166" s="502" t="s">
        <v>1</v>
      </c>
      <c r="E166" s="500">
        <v>0.5</v>
      </c>
      <c r="F166" s="500"/>
      <c r="G166" s="500">
        <v>1</v>
      </c>
      <c r="H166" s="508">
        <v>88230</v>
      </c>
      <c r="I166" s="508"/>
      <c r="J166" s="508"/>
      <c r="K166" s="508">
        <f t="shared" si="82"/>
        <v>44115</v>
      </c>
      <c r="L166" s="500">
        <v>0.5</v>
      </c>
      <c r="M166" s="500"/>
      <c r="N166" s="500">
        <v>1</v>
      </c>
      <c r="O166" s="508">
        <v>88230</v>
      </c>
      <c r="P166" s="508"/>
      <c r="Q166" s="508"/>
      <c r="R166" s="508">
        <f t="shared" si="83"/>
        <v>44115</v>
      </c>
      <c r="S166" s="570">
        <f t="shared" si="84"/>
        <v>0</v>
      </c>
      <c r="T166" s="570">
        <f t="shared" si="85"/>
        <v>0</v>
      </c>
      <c r="U166" s="570">
        <f t="shared" si="86"/>
        <v>0</v>
      </c>
      <c r="V166" s="570">
        <f t="shared" si="87"/>
        <v>0</v>
      </c>
      <c r="W166" s="570">
        <f t="shared" si="88"/>
        <v>0</v>
      </c>
      <c r="X166" s="500">
        <v>0.5</v>
      </c>
      <c r="Y166" s="500"/>
      <c r="Z166" s="500">
        <v>1</v>
      </c>
      <c r="AA166" s="508">
        <v>88230</v>
      </c>
      <c r="AB166" s="508"/>
      <c r="AC166" s="508"/>
      <c r="AD166" s="508">
        <f t="shared" si="89"/>
        <v>44115</v>
      </c>
      <c r="AE166" s="500">
        <v>0.5</v>
      </c>
      <c r="AF166" s="500"/>
      <c r="AG166" s="500">
        <v>1</v>
      </c>
      <c r="AH166" s="508">
        <v>88230</v>
      </c>
      <c r="AI166" s="508"/>
      <c r="AJ166" s="508"/>
      <c r="AK166" s="508">
        <f t="shared" si="90"/>
        <v>44115</v>
      </c>
    </row>
    <row r="167" spans="1:37" ht="21" customHeight="1">
      <c r="A167" s="496">
        <v>9</v>
      </c>
      <c r="B167" s="593" t="s">
        <v>829</v>
      </c>
      <c r="C167" s="593" t="s">
        <v>827</v>
      </c>
      <c r="D167" s="502" t="s">
        <v>1</v>
      </c>
      <c r="E167" s="500">
        <v>0.5</v>
      </c>
      <c r="F167" s="500"/>
      <c r="G167" s="500">
        <v>1</v>
      </c>
      <c r="H167" s="508">
        <v>88230</v>
      </c>
      <c r="I167" s="508"/>
      <c r="J167" s="508"/>
      <c r="K167" s="508">
        <f t="shared" si="82"/>
        <v>44115</v>
      </c>
      <c r="L167" s="500">
        <v>0.5</v>
      </c>
      <c r="M167" s="500"/>
      <c r="N167" s="500">
        <v>1</v>
      </c>
      <c r="O167" s="508">
        <v>88230</v>
      </c>
      <c r="P167" s="508"/>
      <c r="Q167" s="508"/>
      <c r="R167" s="508">
        <f t="shared" si="83"/>
        <v>44115</v>
      </c>
      <c r="S167" s="570">
        <f t="shared" si="84"/>
        <v>0</v>
      </c>
      <c r="T167" s="570">
        <f t="shared" si="85"/>
        <v>0</v>
      </c>
      <c r="U167" s="570">
        <f t="shared" si="86"/>
        <v>0</v>
      </c>
      <c r="V167" s="570">
        <f t="shared" si="87"/>
        <v>0</v>
      </c>
      <c r="W167" s="570">
        <f t="shared" si="88"/>
        <v>0</v>
      </c>
      <c r="X167" s="500">
        <v>0.5</v>
      </c>
      <c r="Y167" s="500"/>
      <c r="Z167" s="500">
        <v>1</v>
      </c>
      <c r="AA167" s="508">
        <v>88230</v>
      </c>
      <c r="AB167" s="508"/>
      <c r="AC167" s="508"/>
      <c r="AD167" s="508">
        <f t="shared" si="89"/>
        <v>44115</v>
      </c>
      <c r="AE167" s="500">
        <v>0.5</v>
      </c>
      <c r="AF167" s="500"/>
      <c r="AG167" s="500">
        <v>1</v>
      </c>
      <c r="AH167" s="508">
        <v>88230</v>
      </c>
      <c r="AI167" s="508"/>
      <c r="AJ167" s="508"/>
      <c r="AK167" s="508">
        <f t="shared" si="90"/>
        <v>44115</v>
      </c>
    </row>
    <row r="168" spans="1:37" ht="21" customHeight="1">
      <c r="A168" s="496">
        <v>10</v>
      </c>
      <c r="B168" s="593" t="s">
        <v>830</v>
      </c>
      <c r="C168" s="593" t="s">
        <v>827</v>
      </c>
      <c r="D168" s="502"/>
      <c r="E168" s="500">
        <v>0.5</v>
      </c>
      <c r="F168" s="500"/>
      <c r="G168" s="500">
        <v>1</v>
      </c>
      <c r="H168" s="508">
        <v>88230</v>
      </c>
      <c r="I168" s="508"/>
      <c r="J168" s="508"/>
      <c r="K168" s="508">
        <f t="shared" si="82"/>
        <v>44115</v>
      </c>
      <c r="L168" s="500">
        <v>0.5</v>
      </c>
      <c r="M168" s="500"/>
      <c r="N168" s="500">
        <v>1</v>
      </c>
      <c r="O168" s="508">
        <v>88230</v>
      </c>
      <c r="P168" s="508"/>
      <c r="Q168" s="508"/>
      <c r="R168" s="508">
        <f t="shared" si="83"/>
        <v>44115</v>
      </c>
      <c r="S168" s="570">
        <f t="shared" si="84"/>
        <v>0</v>
      </c>
      <c r="T168" s="570">
        <f t="shared" si="85"/>
        <v>0</v>
      </c>
      <c r="U168" s="570">
        <f t="shared" si="86"/>
        <v>0</v>
      </c>
      <c r="V168" s="570">
        <f t="shared" si="87"/>
        <v>0</v>
      </c>
      <c r="W168" s="570">
        <f t="shared" si="88"/>
        <v>0</v>
      </c>
      <c r="X168" s="500">
        <v>0.5</v>
      </c>
      <c r="Y168" s="500"/>
      <c r="Z168" s="500">
        <v>1</v>
      </c>
      <c r="AA168" s="508">
        <v>88230</v>
      </c>
      <c r="AB168" s="508"/>
      <c r="AC168" s="508"/>
      <c r="AD168" s="508">
        <f t="shared" si="89"/>
        <v>44115</v>
      </c>
      <c r="AE168" s="500">
        <v>0.5</v>
      </c>
      <c r="AF168" s="500"/>
      <c r="AG168" s="500">
        <v>1</v>
      </c>
      <c r="AH168" s="508">
        <v>88230</v>
      </c>
      <c r="AI168" s="508"/>
      <c r="AJ168" s="508"/>
      <c r="AK168" s="508">
        <f t="shared" si="90"/>
        <v>44115</v>
      </c>
    </row>
    <row r="169" spans="1:37" ht="21" customHeight="1">
      <c r="A169" s="496">
        <v>11</v>
      </c>
      <c r="B169" s="593" t="s">
        <v>831</v>
      </c>
      <c r="C169" s="593" t="s">
        <v>825</v>
      </c>
      <c r="D169" s="502" t="s">
        <v>1</v>
      </c>
      <c r="E169" s="500">
        <v>1</v>
      </c>
      <c r="F169" s="500"/>
      <c r="G169" s="500">
        <v>1.1</v>
      </c>
      <c r="H169" s="508">
        <v>88312</v>
      </c>
      <c r="I169" s="508"/>
      <c r="J169" s="508">
        <v>29140</v>
      </c>
      <c r="K169" s="508">
        <f t="shared" si="82"/>
        <v>117452</v>
      </c>
      <c r="L169" s="500">
        <v>1</v>
      </c>
      <c r="M169" s="500"/>
      <c r="N169" s="500">
        <v>1.1</v>
      </c>
      <c r="O169" s="508">
        <v>88312</v>
      </c>
      <c r="P169" s="508"/>
      <c r="Q169" s="508">
        <v>29140</v>
      </c>
      <c r="R169" s="508">
        <f t="shared" si="83"/>
        <v>117452</v>
      </c>
      <c r="S169" s="570">
        <f t="shared" si="84"/>
        <v>0</v>
      </c>
      <c r="T169" s="570">
        <f t="shared" si="85"/>
        <v>0</v>
      </c>
      <c r="U169" s="570">
        <f t="shared" si="86"/>
        <v>0</v>
      </c>
      <c r="V169" s="570">
        <f t="shared" si="87"/>
        <v>0</v>
      </c>
      <c r="W169" s="570">
        <f t="shared" si="88"/>
        <v>0</v>
      </c>
      <c r="X169" s="500">
        <v>1</v>
      </c>
      <c r="Y169" s="500"/>
      <c r="Z169" s="500">
        <v>1.1</v>
      </c>
      <c r="AA169" s="508">
        <v>88312</v>
      </c>
      <c r="AB169" s="508"/>
      <c r="AC169" s="508">
        <v>29140</v>
      </c>
      <c r="AD169" s="508">
        <f t="shared" si="89"/>
        <v>117452</v>
      </c>
      <c r="AE169" s="500">
        <v>1</v>
      </c>
      <c r="AF169" s="500"/>
      <c r="AG169" s="500">
        <v>1.1</v>
      </c>
      <c r="AH169" s="508">
        <v>88312</v>
      </c>
      <c r="AI169" s="508"/>
      <c r="AJ169" s="508">
        <v>29140</v>
      </c>
      <c r="AK169" s="508">
        <f t="shared" si="90"/>
        <v>117452</v>
      </c>
    </row>
    <row r="170" spans="1:37" ht="27.75" customHeight="1">
      <c r="A170" s="496"/>
      <c r="B170" s="583" t="s">
        <v>181</v>
      </c>
      <c r="C170" s="502"/>
      <c r="D170" s="502"/>
      <c r="E170" s="500">
        <f>SUM(E159:E169)</f>
        <v>8</v>
      </c>
      <c r="F170" s="508"/>
      <c r="G170" s="502" t="s">
        <v>1</v>
      </c>
      <c r="H170" s="500">
        <f>SUM(H159:H169)</f>
        <v>997742</v>
      </c>
      <c r="I170" s="500">
        <f>SUM(I159:I169)</f>
        <v>0</v>
      </c>
      <c r="J170" s="500">
        <f>SUM(J159:J169)</f>
        <v>59260</v>
      </c>
      <c r="K170" s="500">
        <f>SUM(K159:K169)</f>
        <v>797867</v>
      </c>
      <c r="L170" s="500">
        <f>SUM(L159:L169)</f>
        <v>8</v>
      </c>
      <c r="M170" s="508"/>
      <c r="N170" s="500"/>
      <c r="O170" s="500">
        <f aca="true" t="shared" si="91" ref="O170:X170">SUM(O159:O169)</f>
        <v>997742</v>
      </c>
      <c r="P170" s="500">
        <f t="shared" si="91"/>
        <v>0</v>
      </c>
      <c r="Q170" s="500">
        <f t="shared" si="91"/>
        <v>59260</v>
      </c>
      <c r="R170" s="500">
        <f t="shared" si="91"/>
        <v>797867</v>
      </c>
      <c r="S170" s="500">
        <f t="shared" si="91"/>
        <v>0</v>
      </c>
      <c r="T170" s="500">
        <f t="shared" si="91"/>
        <v>0</v>
      </c>
      <c r="U170" s="500">
        <f t="shared" si="91"/>
        <v>0</v>
      </c>
      <c r="V170" s="500">
        <f t="shared" si="91"/>
        <v>0</v>
      </c>
      <c r="W170" s="500">
        <f t="shared" si="91"/>
        <v>0</v>
      </c>
      <c r="X170" s="500">
        <f t="shared" si="91"/>
        <v>8</v>
      </c>
      <c r="Y170" s="502" t="s">
        <v>1</v>
      </c>
      <c r="Z170" s="500">
        <f aca="true" t="shared" si="92" ref="Z170:AE170">SUM(Z159:Z169)</f>
        <v>13.15</v>
      </c>
      <c r="AA170" s="500">
        <f t="shared" si="92"/>
        <v>997742</v>
      </c>
      <c r="AB170" s="500">
        <f t="shared" si="92"/>
        <v>0</v>
      </c>
      <c r="AC170" s="500">
        <f t="shared" si="92"/>
        <v>59260</v>
      </c>
      <c r="AD170" s="500">
        <f t="shared" si="92"/>
        <v>797867</v>
      </c>
      <c r="AE170" s="500">
        <f t="shared" si="92"/>
        <v>8</v>
      </c>
      <c r="AF170" s="508"/>
      <c r="AG170" s="502" t="s">
        <v>1</v>
      </c>
      <c r="AH170" s="500">
        <f>SUM(AH159:AH169)</f>
        <v>997742</v>
      </c>
      <c r="AI170" s="500">
        <f>SUM(AI159:AI169)</f>
        <v>0</v>
      </c>
      <c r="AJ170" s="500">
        <f>SUM(AJ159:AJ169)</f>
        <v>59260</v>
      </c>
      <c r="AK170" s="500">
        <f>SUM(AK159:AK169)</f>
        <v>797867</v>
      </c>
    </row>
    <row r="171" spans="1:37" ht="27.75" customHeight="1">
      <c r="A171" s="496"/>
      <c r="B171" s="583"/>
      <c r="C171" s="502"/>
      <c r="D171" s="502"/>
      <c r="E171" s="500">
        <f>E157+E170</f>
        <v>10</v>
      </c>
      <c r="F171" s="500">
        <f>F170+F154</f>
        <v>0</v>
      </c>
      <c r="G171" s="500"/>
      <c r="H171" s="500">
        <f>H170+H154</f>
        <v>1311907</v>
      </c>
      <c r="I171" s="500">
        <f>I170+I154</f>
        <v>0</v>
      </c>
      <c r="J171" s="500">
        <f>J170+J154</f>
        <v>59260</v>
      </c>
      <c r="K171" s="500">
        <f>K170+K157</f>
        <v>1426197</v>
      </c>
      <c r="L171" s="500">
        <f>L157+L170</f>
        <v>10</v>
      </c>
      <c r="M171" s="500">
        <f aca="true" t="shared" si="93" ref="M171:W171">M170+M154</f>
        <v>0</v>
      </c>
      <c r="N171" s="500">
        <f t="shared" si="93"/>
        <v>4.75</v>
      </c>
      <c r="O171" s="500">
        <f t="shared" si="93"/>
        <v>1311907</v>
      </c>
      <c r="P171" s="500">
        <f t="shared" si="93"/>
        <v>0</v>
      </c>
      <c r="Q171" s="500">
        <f t="shared" si="93"/>
        <v>59260</v>
      </c>
      <c r="R171" s="500">
        <f t="shared" si="93"/>
        <v>1112032</v>
      </c>
      <c r="S171" s="500">
        <f t="shared" si="93"/>
        <v>0</v>
      </c>
      <c r="T171" s="500">
        <f t="shared" si="93"/>
        <v>0</v>
      </c>
      <c r="U171" s="500">
        <f t="shared" si="93"/>
        <v>0</v>
      </c>
      <c r="V171" s="500">
        <f t="shared" si="93"/>
        <v>0</v>
      </c>
      <c r="W171" s="500">
        <f t="shared" si="93"/>
        <v>0</v>
      </c>
      <c r="X171" s="500">
        <f>X157+X170</f>
        <v>10</v>
      </c>
      <c r="Y171" s="500"/>
      <c r="Z171" s="500">
        <f>Z170+Z154</f>
        <v>17.9</v>
      </c>
      <c r="AA171" s="500">
        <f>AA170+AA154</f>
        <v>1311907</v>
      </c>
      <c r="AB171" s="500">
        <f>AB170+AB154</f>
        <v>0</v>
      </c>
      <c r="AC171" s="500">
        <f>AC170+AC154</f>
        <v>59260</v>
      </c>
      <c r="AD171" s="500">
        <f>AD170+AD154</f>
        <v>1112032</v>
      </c>
      <c r="AE171" s="500">
        <f>AE157+AE170</f>
        <v>10</v>
      </c>
      <c r="AF171" s="500">
        <f aca="true" t="shared" si="94" ref="AF171:AK171">AF170+AF154</f>
        <v>0</v>
      </c>
      <c r="AG171" s="517" t="e">
        <f>AG170+AG154</f>
        <v>#VALUE!</v>
      </c>
      <c r="AH171" s="500">
        <f t="shared" si="94"/>
        <v>1311907</v>
      </c>
      <c r="AI171" s="500">
        <f t="shared" si="94"/>
        <v>0</v>
      </c>
      <c r="AJ171" s="500">
        <f t="shared" si="94"/>
        <v>59260</v>
      </c>
      <c r="AK171" s="500">
        <f t="shared" si="94"/>
        <v>1112032</v>
      </c>
    </row>
    <row r="172" spans="1:37" ht="28.5" customHeight="1">
      <c r="A172" s="496"/>
      <c r="B172" s="497" t="s">
        <v>183</v>
      </c>
      <c r="C172" s="502" t="s">
        <v>1</v>
      </c>
      <c r="D172" s="502" t="s">
        <v>1</v>
      </c>
      <c r="E172" s="517">
        <f>E171+E148+E24+E13</f>
        <v>87</v>
      </c>
      <c r="F172" s="517"/>
      <c r="G172" s="517">
        <f aca="true" t="shared" si="95" ref="G172:L172">G171+G148+G24+G13</f>
        <v>0</v>
      </c>
      <c r="H172" s="517">
        <f t="shared" si="95"/>
        <v>21100995</v>
      </c>
      <c r="I172" s="517">
        <f t="shared" si="95"/>
        <v>0</v>
      </c>
      <c r="J172" s="517">
        <f t="shared" si="95"/>
        <v>801979.1299999999</v>
      </c>
      <c r="K172" s="517">
        <f t="shared" si="95"/>
        <v>21958004.13</v>
      </c>
      <c r="L172" s="517">
        <f t="shared" si="95"/>
        <v>87</v>
      </c>
      <c r="M172" s="517"/>
      <c r="N172" s="517"/>
      <c r="O172" s="517">
        <f aca="true" t="shared" si="96" ref="O172:X172">O171+O148+O24+O13</f>
        <v>20923078.4</v>
      </c>
      <c r="P172" s="517">
        <f t="shared" si="96"/>
        <v>0</v>
      </c>
      <c r="Q172" s="517">
        <f t="shared" si="96"/>
        <v>560171.29</v>
      </c>
      <c r="R172" s="517">
        <f t="shared" si="96"/>
        <v>21224114.69</v>
      </c>
      <c r="S172" s="517">
        <f t="shared" si="96"/>
        <v>0</v>
      </c>
      <c r="T172" s="517">
        <f t="shared" si="96"/>
        <v>177916.5999999999</v>
      </c>
      <c r="U172" s="517">
        <f t="shared" si="96"/>
        <v>0</v>
      </c>
      <c r="V172" s="517">
        <f t="shared" si="96"/>
        <v>241807.84000000003</v>
      </c>
      <c r="W172" s="517">
        <f t="shared" si="96"/>
        <v>419724.4399999998</v>
      </c>
      <c r="X172" s="517">
        <f t="shared" si="96"/>
        <v>87</v>
      </c>
      <c r="Y172" s="517"/>
      <c r="Z172" s="517"/>
      <c r="AA172" s="517">
        <f>AA171+AA148+AA24+AA13</f>
        <v>21297430.8</v>
      </c>
      <c r="AB172" s="517">
        <f>AB171+AB148+AB24+AB13</f>
        <v>0</v>
      </c>
      <c r="AC172" s="517">
        <f>AC171+AC148+AC24+AC13</f>
        <v>784187.4700000001</v>
      </c>
      <c r="AD172" s="517">
        <f>AD171+AD148+AD24+AD13</f>
        <v>21822483.270000003</v>
      </c>
      <c r="AE172" s="517">
        <f>AE171+AE148+AE24+AE13</f>
        <v>87</v>
      </c>
      <c r="AF172" s="517"/>
      <c r="AG172" s="517"/>
      <c r="AH172" s="517">
        <f>AH171+AH148+AH24+AH13</f>
        <v>21483284.2</v>
      </c>
      <c r="AI172" s="517">
        <f>AI171+AI148+AI24+AI13</f>
        <v>0</v>
      </c>
      <c r="AJ172" s="517">
        <f>AJ171+AJ148+AJ24+AJ13</f>
        <v>792818.7399999999</v>
      </c>
      <c r="AK172" s="517">
        <f>AK171+AK148+AK24+AK13</f>
        <v>22016967.94</v>
      </c>
    </row>
  </sheetData>
  <sheetProtection/>
  <mergeCells count="3">
    <mergeCell ref="S4:W4"/>
    <mergeCell ref="B2:C2"/>
    <mergeCell ref="S2:X2"/>
  </mergeCells>
  <printOptions/>
  <pageMargins left="0.16" right="0.17" top="0.17" bottom="0.17" header="0.18" footer="0.17"/>
  <pageSetup horizontalDpi="600" verticalDpi="600" orientation="portrait" paperSize="9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R39"/>
  <sheetViews>
    <sheetView zoomScalePageLayoutView="0" workbookViewId="0" topLeftCell="A1">
      <selection activeCell="B8" sqref="B8"/>
    </sheetView>
  </sheetViews>
  <sheetFormatPr defaultColWidth="9.140625" defaultRowHeight="12.75"/>
  <cols>
    <col min="1" max="1" width="4.57421875" style="404" customWidth="1"/>
    <col min="2" max="2" width="40.140625" style="0" customWidth="1"/>
    <col min="3" max="3" width="12.00390625" style="0" customWidth="1"/>
    <col min="4" max="7" width="10.421875" style="0" customWidth="1"/>
    <col min="8" max="8" width="12.28125" style="0" customWidth="1"/>
    <col min="9" max="13" width="10.421875" style="0" customWidth="1"/>
    <col min="14" max="14" width="11.140625" style="0" customWidth="1"/>
    <col min="15" max="17" width="10.421875" style="0" customWidth="1"/>
    <col min="18" max="18" width="11.140625" style="0" customWidth="1"/>
  </cols>
  <sheetData>
    <row r="1" spans="14:18" ht="13.5">
      <c r="N1" s="120" t="s">
        <v>291</v>
      </c>
      <c r="O1" s="120"/>
      <c r="P1" s="120"/>
      <c r="Q1" s="120"/>
      <c r="R1" s="120"/>
    </row>
    <row r="2" spans="14:18" ht="13.5">
      <c r="N2" s="297" t="s">
        <v>11</v>
      </c>
      <c r="O2" s="297"/>
      <c r="P2" s="297"/>
      <c r="Q2" s="297"/>
      <c r="R2" s="297"/>
    </row>
    <row r="3" ht="12.75" customHeight="1" hidden="1"/>
    <row r="4" ht="12.75" customHeight="1" hidden="1"/>
    <row r="5" ht="12.75" customHeight="1" hidden="1"/>
    <row r="6" spans="1:7" ht="18">
      <c r="A6" s="406"/>
      <c r="B6" s="650" t="s">
        <v>292</v>
      </c>
      <c r="C6" s="650"/>
      <c r="D6" s="403"/>
      <c r="E6" s="403"/>
      <c r="F6" s="403"/>
      <c r="G6" s="403"/>
    </row>
    <row r="7" ht="12.75" hidden="1"/>
    <row r="8" spans="1:7" ht="17.25">
      <c r="A8" s="407"/>
      <c r="B8" s="387" t="s">
        <v>971</v>
      </c>
      <c r="C8" s="388"/>
      <c r="D8" s="388"/>
      <c r="E8" s="388"/>
      <c r="F8" s="388"/>
      <c r="G8" s="388"/>
    </row>
    <row r="9" spans="1:7" ht="17.25">
      <c r="A9" s="408"/>
      <c r="B9" s="389" t="s">
        <v>293</v>
      </c>
      <c r="C9" s="390"/>
      <c r="D9" s="390"/>
      <c r="E9" s="390"/>
      <c r="F9" s="390"/>
      <c r="G9" s="390"/>
    </row>
    <row r="10" spans="1:7" ht="15" thickBot="1">
      <c r="A10" s="406"/>
      <c r="B10" s="386"/>
      <c r="C10" s="386"/>
      <c r="D10" s="386"/>
      <c r="E10" s="386"/>
      <c r="F10" s="386"/>
      <c r="G10" s="386"/>
    </row>
    <row r="11" spans="1:18" s="405" customFormat="1" ht="26.25" customHeight="1" thickBot="1">
      <c r="A11" s="651" t="s">
        <v>8</v>
      </c>
      <c r="B11" s="653" t="s">
        <v>294</v>
      </c>
      <c r="C11" s="655" t="s">
        <v>371</v>
      </c>
      <c r="D11" s="656"/>
      <c r="E11" s="656"/>
      <c r="F11" s="656"/>
      <c r="G11" s="657"/>
      <c r="H11" s="655" t="s">
        <v>364</v>
      </c>
      <c r="I11" s="656"/>
      <c r="J11" s="656"/>
      <c r="K11" s="656"/>
      <c r="L11" s="656"/>
      <c r="M11" s="657"/>
      <c r="N11" s="655" t="s">
        <v>375</v>
      </c>
      <c r="O11" s="656"/>
      <c r="P11" s="656"/>
      <c r="Q11" s="656"/>
      <c r="R11" s="657"/>
    </row>
    <row r="12" spans="1:18" s="405" customFormat="1" ht="63.75" customHeight="1">
      <c r="A12" s="652"/>
      <c r="B12" s="654"/>
      <c r="C12" s="419" t="s">
        <v>295</v>
      </c>
      <c r="D12" s="417" t="s">
        <v>355</v>
      </c>
      <c r="E12" s="417" t="s">
        <v>356</v>
      </c>
      <c r="F12" s="417" t="s">
        <v>357</v>
      </c>
      <c r="G12" s="420" t="s">
        <v>358</v>
      </c>
      <c r="H12" s="419" t="s">
        <v>295</v>
      </c>
      <c r="I12" s="418" t="s">
        <v>355</v>
      </c>
      <c r="J12" s="418" t="s">
        <v>356</v>
      </c>
      <c r="K12" s="418" t="s">
        <v>357</v>
      </c>
      <c r="L12" s="418" t="s">
        <v>358</v>
      </c>
      <c r="M12" s="420" t="s">
        <v>296</v>
      </c>
      <c r="N12" s="419" t="s">
        <v>295</v>
      </c>
      <c r="O12" s="417" t="s">
        <v>355</v>
      </c>
      <c r="P12" s="417" t="s">
        <v>356</v>
      </c>
      <c r="Q12" s="417" t="s">
        <v>357</v>
      </c>
      <c r="R12" s="420" t="s">
        <v>358</v>
      </c>
    </row>
    <row r="13" spans="1:18" ht="15">
      <c r="A13" s="409" t="s">
        <v>297</v>
      </c>
      <c r="B13" s="421" t="s">
        <v>298</v>
      </c>
      <c r="C13" s="592">
        <f aca="true" t="shared" si="0" ref="C13:R13">+C14+C15+C16</f>
        <v>428956.99999999994</v>
      </c>
      <c r="D13" s="391">
        <f t="shared" si="0"/>
        <v>0</v>
      </c>
      <c r="E13" s="391">
        <f t="shared" si="0"/>
        <v>0</v>
      </c>
      <c r="F13" s="391">
        <f t="shared" si="0"/>
        <v>0</v>
      </c>
      <c r="G13" s="392">
        <f t="shared" si="0"/>
        <v>0</v>
      </c>
      <c r="H13" s="414">
        <f t="shared" si="0"/>
        <v>453874.3</v>
      </c>
      <c r="I13" s="391">
        <f t="shared" si="0"/>
        <v>0</v>
      </c>
      <c r="J13" s="391">
        <f t="shared" si="0"/>
        <v>0</v>
      </c>
      <c r="K13" s="391">
        <f t="shared" si="0"/>
        <v>0</v>
      </c>
      <c r="L13" s="391">
        <f t="shared" si="0"/>
        <v>0</v>
      </c>
      <c r="M13" s="392">
        <f t="shared" si="0"/>
        <v>0</v>
      </c>
      <c r="N13" s="592">
        <f t="shared" si="0"/>
        <v>453428.93693016004</v>
      </c>
      <c r="O13" s="391">
        <f t="shared" si="0"/>
        <v>0</v>
      </c>
      <c r="P13" s="391">
        <f t="shared" si="0"/>
        <v>0</v>
      </c>
      <c r="Q13" s="391">
        <f t="shared" si="0"/>
        <v>0</v>
      </c>
      <c r="R13" s="392">
        <f t="shared" si="0"/>
        <v>0</v>
      </c>
    </row>
    <row r="14" spans="1:18" ht="15">
      <c r="A14" s="410"/>
      <c r="B14" s="422" t="s">
        <v>299</v>
      </c>
      <c r="C14" s="592">
        <f>C17</f>
        <v>428956.99999999994</v>
      </c>
      <c r="D14" s="391"/>
      <c r="E14" s="391"/>
      <c r="F14" s="391"/>
      <c r="G14" s="392"/>
      <c r="H14" s="592">
        <f>H17</f>
        <v>453874.3</v>
      </c>
      <c r="I14" s="391"/>
      <c r="J14" s="391"/>
      <c r="K14" s="391"/>
      <c r="L14" s="391"/>
      <c r="M14" s="392"/>
      <c r="N14" s="592">
        <f>N17</f>
        <v>453428.93693016004</v>
      </c>
      <c r="O14" s="391"/>
      <c r="P14" s="391"/>
      <c r="Q14" s="391"/>
      <c r="R14" s="392"/>
    </row>
    <row r="15" spans="1:18" ht="15">
      <c r="A15" s="410"/>
      <c r="B15" s="422" t="s">
        <v>300</v>
      </c>
      <c r="C15" s="414"/>
      <c r="D15" s="391"/>
      <c r="E15" s="391"/>
      <c r="F15" s="391"/>
      <c r="G15" s="392"/>
      <c r="H15" s="414"/>
      <c r="I15" s="391"/>
      <c r="J15" s="391"/>
      <c r="K15" s="391"/>
      <c r="L15" s="391"/>
      <c r="M15" s="392"/>
      <c r="N15" s="592"/>
      <c r="O15" s="391"/>
      <c r="P15" s="391"/>
      <c r="Q15" s="391"/>
      <c r="R15" s="392"/>
    </row>
    <row r="16" spans="1:18" ht="15">
      <c r="A16" s="410"/>
      <c r="B16" s="422" t="s">
        <v>301</v>
      </c>
      <c r="C16" s="414"/>
      <c r="D16" s="391"/>
      <c r="E16" s="391"/>
      <c r="F16" s="391"/>
      <c r="G16" s="392"/>
      <c r="H16" s="414"/>
      <c r="I16" s="391"/>
      <c r="J16" s="391"/>
      <c r="K16" s="391"/>
      <c r="L16" s="391"/>
      <c r="M16" s="392"/>
      <c r="N16" s="592"/>
      <c r="O16" s="391"/>
      <c r="P16" s="391"/>
      <c r="Q16" s="391"/>
      <c r="R16" s="392"/>
    </row>
    <row r="17" spans="1:18" ht="15">
      <c r="A17" s="409" t="s">
        <v>302</v>
      </c>
      <c r="B17" s="421" t="s">
        <v>382</v>
      </c>
      <c r="C17" s="592">
        <f>'1-ԱՄՓՈՓ'!G12</f>
        <v>428956.99999999994</v>
      </c>
      <c r="D17" s="391"/>
      <c r="E17" s="391"/>
      <c r="F17" s="391"/>
      <c r="G17" s="392"/>
      <c r="H17" s="414">
        <f>'1-ԱՄՓՈՓ'!H12</f>
        <v>453874.3</v>
      </c>
      <c r="I17" s="391"/>
      <c r="J17" s="391"/>
      <c r="K17" s="391"/>
      <c r="L17" s="391"/>
      <c r="M17" s="392"/>
      <c r="N17" s="592">
        <f>'1-ԱՄՓՈՓ'!I12</f>
        <v>453428.93693016004</v>
      </c>
      <c r="O17" s="391"/>
      <c r="P17" s="391"/>
      <c r="Q17" s="391"/>
      <c r="R17" s="392"/>
    </row>
    <row r="18" spans="1:18" ht="15">
      <c r="A18" s="409">
        <v>1</v>
      </c>
      <c r="B18" s="423" t="s">
        <v>303</v>
      </c>
      <c r="C18" s="414">
        <f aca="true" t="shared" si="1" ref="C18:R18">+C20+C21</f>
        <v>93</v>
      </c>
      <c r="D18" s="391">
        <f t="shared" si="1"/>
        <v>0</v>
      </c>
      <c r="E18" s="391">
        <f t="shared" si="1"/>
        <v>0</v>
      </c>
      <c r="F18" s="391">
        <f t="shared" si="1"/>
        <v>0</v>
      </c>
      <c r="G18" s="392">
        <f t="shared" si="1"/>
        <v>0</v>
      </c>
      <c r="H18" s="414">
        <f t="shared" si="1"/>
        <v>93</v>
      </c>
      <c r="I18" s="391">
        <f t="shared" si="1"/>
        <v>0</v>
      </c>
      <c r="J18" s="391">
        <f t="shared" si="1"/>
        <v>0</v>
      </c>
      <c r="K18" s="391">
        <f t="shared" si="1"/>
        <v>0</v>
      </c>
      <c r="L18" s="391">
        <f t="shared" si="1"/>
        <v>0</v>
      </c>
      <c r="M18" s="392">
        <f t="shared" si="1"/>
        <v>0</v>
      </c>
      <c r="N18" s="414">
        <f t="shared" si="1"/>
        <v>93</v>
      </c>
      <c r="O18" s="391">
        <f t="shared" si="1"/>
        <v>0</v>
      </c>
      <c r="P18" s="391">
        <f t="shared" si="1"/>
        <v>0</v>
      </c>
      <c r="Q18" s="391">
        <f t="shared" si="1"/>
        <v>0</v>
      </c>
      <c r="R18" s="392">
        <f t="shared" si="1"/>
        <v>0</v>
      </c>
    </row>
    <row r="19" spans="1:18" ht="15">
      <c r="A19" s="411"/>
      <c r="B19" s="424" t="s">
        <v>304</v>
      </c>
      <c r="C19" s="415"/>
      <c r="D19" s="393"/>
      <c r="E19" s="393"/>
      <c r="F19" s="393"/>
      <c r="G19" s="394"/>
      <c r="H19" s="415"/>
      <c r="I19" s="393"/>
      <c r="J19" s="393"/>
      <c r="K19" s="393"/>
      <c r="L19" s="393"/>
      <c r="M19" s="394"/>
      <c r="N19" s="415"/>
      <c r="O19" s="393"/>
      <c r="P19" s="393"/>
      <c r="Q19" s="393"/>
      <c r="R19" s="394"/>
    </row>
    <row r="20" spans="1:18" ht="15">
      <c r="A20" s="410" t="s">
        <v>305</v>
      </c>
      <c r="B20" s="425" t="s">
        <v>306</v>
      </c>
      <c r="C20" s="414">
        <f>'2-ԸՆԴԱՄԵՆԸ ԾԱԽՍԵՐ'!E10</f>
        <v>87</v>
      </c>
      <c r="D20" s="391"/>
      <c r="E20" s="391"/>
      <c r="F20" s="391"/>
      <c r="G20" s="392"/>
      <c r="H20" s="414">
        <f>'2-ԸՆԴԱՄԵՆԸ ԾԱԽՍԵՐ'!F10</f>
        <v>87</v>
      </c>
      <c r="I20" s="391"/>
      <c r="J20" s="391"/>
      <c r="K20" s="391"/>
      <c r="L20" s="391"/>
      <c r="M20" s="392"/>
      <c r="N20" s="414">
        <f>'2-ԸՆԴԱՄԵՆԸ ԾԱԽՍԵՐ'!G10</f>
        <v>87</v>
      </c>
      <c r="O20" s="391"/>
      <c r="P20" s="391"/>
      <c r="Q20" s="391"/>
      <c r="R20" s="392"/>
    </row>
    <row r="21" spans="1:18" ht="30">
      <c r="A21" s="410" t="s">
        <v>307</v>
      </c>
      <c r="B21" s="425" t="s">
        <v>308</v>
      </c>
      <c r="C21" s="414">
        <v>6</v>
      </c>
      <c r="D21" s="391"/>
      <c r="E21" s="391"/>
      <c r="F21" s="391"/>
      <c r="G21" s="392"/>
      <c r="H21" s="414">
        <v>6</v>
      </c>
      <c r="I21" s="391"/>
      <c r="J21" s="391"/>
      <c r="K21" s="391"/>
      <c r="L21" s="391"/>
      <c r="M21" s="392"/>
      <c r="N21" s="414">
        <v>6</v>
      </c>
      <c r="O21" s="391"/>
      <c r="P21" s="391"/>
      <c r="Q21" s="391"/>
      <c r="R21" s="392"/>
    </row>
    <row r="22" spans="1:18" ht="45">
      <c r="A22" s="409">
        <v>2</v>
      </c>
      <c r="B22" s="423" t="s">
        <v>309</v>
      </c>
      <c r="C22" s="414">
        <f aca="true" t="shared" si="2" ref="C22:R22">+C24+C27+C28</f>
        <v>8</v>
      </c>
      <c r="D22" s="391">
        <f t="shared" si="2"/>
        <v>0</v>
      </c>
      <c r="E22" s="391">
        <f t="shared" si="2"/>
        <v>0</v>
      </c>
      <c r="F22" s="391">
        <f t="shared" si="2"/>
        <v>0</v>
      </c>
      <c r="G22" s="392">
        <f t="shared" si="2"/>
        <v>0</v>
      </c>
      <c r="H22" s="414">
        <f t="shared" si="2"/>
        <v>8</v>
      </c>
      <c r="I22" s="391">
        <f t="shared" si="2"/>
        <v>0</v>
      </c>
      <c r="J22" s="391">
        <f t="shared" si="2"/>
        <v>0</v>
      </c>
      <c r="K22" s="391">
        <f t="shared" si="2"/>
        <v>0</v>
      </c>
      <c r="L22" s="391">
        <f t="shared" si="2"/>
        <v>0</v>
      </c>
      <c r="M22" s="392">
        <f t="shared" si="2"/>
        <v>0</v>
      </c>
      <c r="N22" s="414">
        <f t="shared" si="2"/>
        <v>8</v>
      </c>
      <c r="O22" s="391">
        <f t="shared" si="2"/>
        <v>0</v>
      </c>
      <c r="P22" s="391">
        <f t="shared" si="2"/>
        <v>0</v>
      </c>
      <c r="Q22" s="391">
        <f t="shared" si="2"/>
        <v>0</v>
      </c>
      <c r="R22" s="392">
        <f t="shared" si="2"/>
        <v>0</v>
      </c>
    </row>
    <row r="23" spans="1:18" ht="15">
      <c r="A23" s="411"/>
      <c r="B23" s="424" t="s">
        <v>304</v>
      </c>
      <c r="C23" s="415"/>
      <c r="D23" s="393"/>
      <c r="E23" s="393"/>
      <c r="F23" s="393"/>
      <c r="G23" s="394"/>
      <c r="H23" s="415"/>
      <c r="I23" s="393"/>
      <c r="J23" s="393"/>
      <c r="K23" s="393"/>
      <c r="L23" s="393"/>
      <c r="M23" s="394"/>
      <c r="N23" s="415"/>
      <c r="O23" s="393"/>
      <c r="P23" s="393"/>
      <c r="Q23" s="393"/>
      <c r="R23" s="394"/>
    </row>
    <row r="24" spans="1:18" ht="45">
      <c r="A24" s="410" t="s">
        <v>310</v>
      </c>
      <c r="B24" s="425" t="s">
        <v>311</v>
      </c>
      <c r="C24" s="415">
        <f aca="true" t="shared" si="3" ref="C24:R24">+C25+C26</f>
        <v>4</v>
      </c>
      <c r="D24" s="393">
        <f t="shared" si="3"/>
        <v>0</v>
      </c>
      <c r="E24" s="393">
        <f t="shared" si="3"/>
        <v>0</v>
      </c>
      <c r="F24" s="393">
        <f t="shared" si="3"/>
        <v>0</v>
      </c>
      <c r="G24" s="394">
        <f t="shared" si="3"/>
        <v>0</v>
      </c>
      <c r="H24" s="415">
        <f t="shared" si="3"/>
        <v>4</v>
      </c>
      <c r="I24" s="393">
        <f t="shared" si="3"/>
        <v>0</v>
      </c>
      <c r="J24" s="393">
        <f t="shared" si="3"/>
        <v>0</v>
      </c>
      <c r="K24" s="393">
        <f t="shared" si="3"/>
        <v>0</v>
      </c>
      <c r="L24" s="393">
        <f t="shared" si="3"/>
        <v>0</v>
      </c>
      <c r="M24" s="394">
        <f t="shared" si="3"/>
        <v>0</v>
      </c>
      <c r="N24" s="415">
        <f t="shared" si="3"/>
        <v>4</v>
      </c>
      <c r="O24" s="393">
        <f t="shared" si="3"/>
        <v>0</v>
      </c>
      <c r="P24" s="393">
        <f t="shared" si="3"/>
        <v>0</v>
      </c>
      <c r="Q24" s="393">
        <f t="shared" si="3"/>
        <v>0</v>
      </c>
      <c r="R24" s="394">
        <f t="shared" si="3"/>
        <v>0</v>
      </c>
    </row>
    <row r="25" spans="1:18" ht="15">
      <c r="A25" s="412" t="s">
        <v>312</v>
      </c>
      <c r="B25" s="426" t="s">
        <v>313</v>
      </c>
      <c r="C25" s="414">
        <v>4</v>
      </c>
      <c r="D25" s="391"/>
      <c r="E25" s="391"/>
      <c r="F25" s="391"/>
      <c r="G25" s="392"/>
      <c r="H25" s="414">
        <v>4</v>
      </c>
      <c r="I25" s="391"/>
      <c r="J25" s="391"/>
      <c r="K25" s="391"/>
      <c r="L25" s="391"/>
      <c r="M25" s="392"/>
      <c r="N25" s="414">
        <v>4</v>
      </c>
      <c r="O25" s="391"/>
      <c r="P25" s="391"/>
      <c r="Q25" s="391"/>
      <c r="R25" s="392"/>
    </row>
    <row r="26" spans="1:18" ht="25.5">
      <c r="A26" s="412" t="s">
        <v>314</v>
      </c>
      <c r="B26" s="426" t="s">
        <v>315</v>
      </c>
      <c r="C26" s="414"/>
      <c r="D26" s="391"/>
      <c r="E26" s="391"/>
      <c r="F26" s="391"/>
      <c r="G26" s="392"/>
      <c r="H26" s="414"/>
      <c r="I26" s="391"/>
      <c r="J26" s="391"/>
      <c r="K26" s="391"/>
      <c r="L26" s="391"/>
      <c r="M26" s="392"/>
      <c r="N26" s="414"/>
      <c r="O26" s="391"/>
      <c r="P26" s="391"/>
      <c r="Q26" s="391"/>
      <c r="R26" s="392"/>
    </row>
    <row r="27" spans="1:18" ht="60">
      <c r="A27" s="410" t="s">
        <v>316</v>
      </c>
      <c r="B27" s="425" t="s">
        <v>317</v>
      </c>
      <c r="C27" s="414">
        <v>4</v>
      </c>
      <c r="D27" s="391"/>
      <c r="E27" s="391"/>
      <c r="F27" s="391"/>
      <c r="G27" s="392"/>
      <c r="H27" s="414">
        <v>4</v>
      </c>
      <c r="I27" s="391"/>
      <c r="J27" s="391"/>
      <c r="K27" s="391"/>
      <c r="L27" s="391"/>
      <c r="M27" s="392"/>
      <c r="N27" s="414">
        <v>4</v>
      </c>
      <c r="O27" s="391"/>
      <c r="P27" s="391"/>
      <c r="Q27" s="391"/>
      <c r="R27" s="392"/>
    </row>
    <row r="28" spans="1:18" ht="45">
      <c r="A28" s="410" t="s">
        <v>318</v>
      </c>
      <c r="B28" s="425" t="s">
        <v>319</v>
      </c>
      <c r="C28" s="414"/>
      <c r="D28" s="391"/>
      <c r="E28" s="391"/>
      <c r="F28" s="391"/>
      <c r="G28" s="392"/>
      <c r="H28" s="414"/>
      <c r="I28" s="391"/>
      <c r="J28" s="391"/>
      <c r="K28" s="391"/>
      <c r="L28" s="391"/>
      <c r="M28" s="392"/>
      <c r="N28" s="414"/>
      <c r="O28" s="391"/>
      <c r="P28" s="391"/>
      <c r="Q28" s="391"/>
      <c r="R28" s="392"/>
    </row>
    <row r="29" spans="1:18" ht="45">
      <c r="A29" s="409">
        <v>3</v>
      </c>
      <c r="B29" s="423" t="s">
        <v>320</v>
      </c>
      <c r="C29" s="414"/>
      <c r="D29" s="391"/>
      <c r="E29" s="391"/>
      <c r="F29" s="391"/>
      <c r="G29" s="392"/>
      <c r="H29" s="414"/>
      <c r="I29" s="391"/>
      <c r="J29" s="391"/>
      <c r="K29" s="391"/>
      <c r="L29" s="391"/>
      <c r="M29" s="392"/>
      <c r="N29" s="414"/>
      <c r="O29" s="391"/>
      <c r="P29" s="391"/>
      <c r="Q29" s="391"/>
      <c r="R29" s="392"/>
    </row>
    <row r="30" spans="1:18" ht="30">
      <c r="A30" s="409">
        <v>4</v>
      </c>
      <c r="B30" s="423" t="s">
        <v>321</v>
      </c>
      <c r="C30" s="414">
        <f aca="true" t="shared" si="4" ref="C30:R30">+C32+C33</f>
        <v>1253</v>
      </c>
      <c r="D30" s="391">
        <f t="shared" si="4"/>
        <v>0</v>
      </c>
      <c r="E30" s="391">
        <f t="shared" si="4"/>
        <v>0</v>
      </c>
      <c r="F30" s="391">
        <f t="shared" si="4"/>
        <v>0</v>
      </c>
      <c r="G30" s="392">
        <f t="shared" si="4"/>
        <v>0</v>
      </c>
      <c r="H30" s="414">
        <f t="shared" si="4"/>
        <v>1253</v>
      </c>
      <c r="I30" s="391">
        <f t="shared" si="4"/>
        <v>0</v>
      </c>
      <c r="J30" s="391">
        <f t="shared" si="4"/>
        <v>0</v>
      </c>
      <c r="K30" s="391">
        <f t="shared" si="4"/>
        <v>0</v>
      </c>
      <c r="L30" s="391">
        <f t="shared" si="4"/>
        <v>0</v>
      </c>
      <c r="M30" s="392">
        <f t="shared" si="4"/>
        <v>0</v>
      </c>
      <c r="N30" s="414">
        <f t="shared" si="4"/>
        <v>1253</v>
      </c>
      <c r="O30" s="391">
        <f t="shared" si="4"/>
        <v>0</v>
      </c>
      <c r="P30" s="391">
        <f t="shared" si="4"/>
        <v>0</v>
      </c>
      <c r="Q30" s="391">
        <f t="shared" si="4"/>
        <v>0</v>
      </c>
      <c r="R30" s="392">
        <f t="shared" si="4"/>
        <v>0</v>
      </c>
    </row>
    <row r="31" spans="1:18" ht="15">
      <c r="A31" s="411"/>
      <c r="B31" s="424" t="s">
        <v>304</v>
      </c>
      <c r="C31" s="415"/>
      <c r="D31" s="393"/>
      <c r="E31" s="393"/>
      <c r="F31" s="393"/>
      <c r="G31" s="394"/>
      <c r="H31" s="415"/>
      <c r="I31" s="393"/>
      <c r="J31" s="393"/>
      <c r="K31" s="393"/>
      <c r="L31" s="393"/>
      <c r="M31" s="394"/>
      <c r="N31" s="415"/>
      <c r="O31" s="393"/>
      <c r="P31" s="393"/>
      <c r="Q31" s="393"/>
      <c r="R31" s="394"/>
    </row>
    <row r="32" spans="1:18" ht="28.5">
      <c r="A32" s="410" t="s">
        <v>322</v>
      </c>
      <c r="B32" s="427" t="s">
        <v>323</v>
      </c>
      <c r="C32" s="414">
        <f>'14տարածքներ'!E14</f>
        <v>1253</v>
      </c>
      <c r="D32" s="391"/>
      <c r="E32" s="391"/>
      <c r="F32" s="391"/>
      <c r="G32" s="392"/>
      <c r="H32" s="414">
        <f>C32</f>
        <v>1253</v>
      </c>
      <c r="I32" s="391"/>
      <c r="J32" s="391"/>
      <c r="K32" s="391"/>
      <c r="L32" s="391"/>
      <c r="M32" s="392"/>
      <c r="N32" s="414">
        <f>C32</f>
        <v>1253</v>
      </c>
      <c r="O32" s="391"/>
      <c r="P32" s="391"/>
      <c r="Q32" s="391"/>
      <c r="R32" s="392"/>
    </row>
    <row r="33" spans="1:18" ht="15">
      <c r="A33" s="410">
        <v>4.2</v>
      </c>
      <c r="B33" s="427" t="s">
        <v>324</v>
      </c>
      <c r="C33" s="414"/>
      <c r="D33" s="391"/>
      <c r="E33" s="391"/>
      <c r="F33" s="391"/>
      <c r="G33" s="392"/>
      <c r="H33" s="414"/>
      <c r="I33" s="391"/>
      <c r="J33" s="391"/>
      <c r="K33" s="391"/>
      <c r="L33" s="391"/>
      <c r="M33" s="392"/>
      <c r="N33" s="414"/>
      <c r="O33" s="391"/>
      <c r="P33" s="391"/>
      <c r="Q33" s="391"/>
      <c r="R33" s="392"/>
    </row>
    <row r="34" spans="1:18" ht="28.5">
      <c r="A34" s="410" t="s">
        <v>325</v>
      </c>
      <c r="B34" s="427" t="s">
        <v>326</v>
      </c>
      <c r="C34" s="414"/>
      <c r="D34" s="391"/>
      <c r="E34" s="391"/>
      <c r="F34" s="391"/>
      <c r="G34" s="392"/>
      <c r="H34" s="414"/>
      <c r="I34" s="391"/>
      <c r="J34" s="391"/>
      <c r="K34" s="391"/>
      <c r="L34" s="391"/>
      <c r="M34" s="392"/>
      <c r="N34" s="414"/>
      <c r="O34" s="391"/>
      <c r="P34" s="391"/>
      <c r="Q34" s="391"/>
      <c r="R34" s="392"/>
    </row>
    <row r="35" spans="1:18" ht="15">
      <c r="A35" s="409">
        <v>5</v>
      </c>
      <c r="B35" s="423" t="s">
        <v>327</v>
      </c>
      <c r="C35" s="414">
        <f>C37+C38</f>
        <v>5</v>
      </c>
      <c r="D35" s="391">
        <f aca="true" t="shared" si="5" ref="D35:R35">+D37</f>
        <v>0</v>
      </c>
      <c r="E35" s="391">
        <f t="shared" si="5"/>
        <v>0</v>
      </c>
      <c r="F35" s="391">
        <f t="shared" si="5"/>
        <v>0</v>
      </c>
      <c r="G35" s="392">
        <f t="shared" si="5"/>
        <v>0</v>
      </c>
      <c r="H35" s="414">
        <f>H37+H38</f>
        <v>5</v>
      </c>
      <c r="I35" s="391">
        <f t="shared" si="5"/>
        <v>0</v>
      </c>
      <c r="J35" s="391">
        <f t="shared" si="5"/>
        <v>0</v>
      </c>
      <c r="K35" s="391">
        <f t="shared" si="5"/>
        <v>0</v>
      </c>
      <c r="L35" s="391">
        <f t="shared" si="5"/>
        <v>0</v>
      </c>
      <c r="M35" s="392">
        <f t="shared" si="5"/>
        <v>0</v>
      </c>
      <c r="N35" s="414">
        <f>N37+N38</f>
        <v>5</v>
      </c>
      <c r="O35" s="391">
        <f t="shared" si="5"/>
        <v>0</v>
      </c>
      <c r="P35" s="391">
        <f t="shared" si="5"/>
        <v>0</v>
      </c>
      <c r="Q35" s="391">
        <f t="shared" si="5"/>
        <v>0</v>
      </c>
      <c r="R35" s="392">
        <f t="shared" si="5"/>
        <v>0</v>
      </c>
    </row>
    <row r="36" spans="1:18" ht="15">
      <c r="A36" s="411"/>
      <c r="B36" s="424" t="s">
        <v>304</v>
      </c>
      <c r="C36" s="415"/>
      <c r="D36" s="393"/>
      <c r="E36" s="393"/>
      <c r="F36" s="393"/>
      <c r="G36" s="394"/>
      <c r="H36" s="415"/>
      <c r="I36" s="393"/>
      <c r="J36" s="393"/>
      <c r="K36" s="393"/>
      <c r="L36" s="393"/>
      <c r="M36" s="394"/>
      <c r="N36" s="415"/>
      <c r="O36" s="393"/>
      <c r="P36" s="393"/>
      <c r="Q36" s="393"/>
      <c r="R36" s="394"/>
    </row>
    <row r="37" spans="1:18" ht="28.5">
      <c r="A37" s="410" t="s">
        <v>328</v>
      </c>
      <c r="B37" s="427" t="s">
        <v>329</v>
      </c>
      <c r="C37" s="414">
        <v>1</v>
      </c>
      <c r="D37" s="391"/>
      <c r="E37" s="391"/>
      <c r="F37" s="391"/>
      <c r="G37" s="392"/>
      <c r="H37" s="414">
        <v>1</v>
      </c>
      <c r="I37" s="391"/>
      <c r="J37" s="391"/>
      <c r="K37" s="391"/>
      <c r="L37" s="391"/>
      <c r="M37" s="392"/>
      <c r="N37" s="414">
        <v>1</v>
      </c>
      <c r="O37" s="391"/>
      <c r="P37" s="391"/>
      <c r="Q37" s="391"/>
      <c r="R37" s="392"/>
    </row>
    <row r="38" spans="1:18" ht="15.75" thickBot="1">
      <c r="A38" s="413" t="s">
        <v>330</v>
      </c>
      <c r="B38" s="428" t="s">
        <v>331</v>
      </c>
      <c r="C38" s="414">
        <v>4</v>
      </c>
      <c r="D38" s="391"/>
      <c r="E38" s="391"/>
      <c r="F38" s="391"/>
      <c r="G38" s="392"/>
      <c r="H38" s="414">
        <v>4</v>
      </c>
      <c r="I38" s="391"/>
      <c r="J38" s="391"/>
      <c r="K38" s="391"/>
      <c r="L38" s="391"/>
      <c r="M38" s="392"/>
      <c r="N38" s="414">
        <v>4</v>
      </c>
      <c r="O38" s="391"/>
      <c r="P38" s="391"/>
      <c r="Q38" s="391"/>
      <c r="R38" s="392"/>
    </row>
    <row r="39" spans="1:18" ht="28.5" customHeight="1" thickBot="1">
      <c r="A39" s="409">
        <v>6</v>
      </c>
      <c r="B39" s="423" t="s">
        <v>332</v>
      </c>
      <c r="C39" s="416">
        <v>6</v>
      </c>
      <c r="D39" s="395"/>
      <c r="E39" s="395"/>
      <c r="F39" s="395"/>
      <c r="G39" s="396"/>
      <c r="H39" s="416">
        <v>3</v>
      </c>
      <c r="I39" s="395"/>
      <c r="J39" s="395"/>
      <c r="K39" s="395"/>
      <c r="L39" s="395"/>
      <c r="M39" s="396"/>
      <c r="N39" s="416">
        <v>0</v>
      </c>
      <c r="O39" s="395"/>
      <c r="P39" s="395"/>
      <c r="Q39" s="395"/>
      <c r="R39" s="396"/>
    </row>
  </sheetData>
  <sheetProtection/>
  <mergeCells count="6">
    <mergeCell ref="B6:C6"/>
    <mergeCell ref="A11:A12"/>
    <mergeCell ref="B11:B12"/>
    <mergeCell ref="H11:M11"/>
    <mergeCell ref="C11:G11"/>
    <mergeCell ref="N11:R11"/>
  </mergeCells>
  <printOptions/>
  <pageMargins left="0.16" right="0.22" top="0.19" bottom="0.16" header="0.16" footer="0.16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90"/>
  <sheetViews>
    <sheetView tabSelected="1" view="pageBreakPreview" zoomScale="80" zoomScaleSheetLayoutView="80" zoomScalePageLayoutView="0" workbookViewId="0" topLeftCell="A55">
      <selection activeCell="K73" sqref="K73"/>
    </sheetView>
  </sheetViews>
  <sheetFormatPr defaultColWidth="9.140625" defaultRowHeight="12.75"/>
  <cols>
    <col min="1" max="1" width="9.140625" style="19" customWidth="1"/>
    <col min="2" max="2" width="12.28125" style="19" customWidth="1"/>
    <col min="3" max="3" width="6.7109375" style="15" customWidth="1"/>
    <col min="4" max="4" width="45.57421875" style="208" customWidth="1"/>
    <col min="5" max="6" width="11.7109375" style="4" customWidth="1"/>
    <col min="7" max="7" width="11.00390625" style="4" customWidth="1"/>
    <col min="8" max="8" width="12.57421875" style="4" customWidth="1"/>
    <col min="9" max="9" width="14.7109375" style="4" customWidth="1"/>
    <col min="10" max="10" width="31.00390625" style="4" customWidth="1"/>
    <col min="11" max="12" width="11.00390625" style="4" customWidth="1"/>
    <col min="13" max="16384" width="9.140625" style="5" customWidth="1"/>
  </cols>
  <sheetData>
    <row r="1" spans="1:10" ht="21.75" customHeight="1">
      <c r="A1" s="31"/>
      <c r="B1" s="31"/>
      <c r="J1" s="36" t="s">
        <v>17</v>
      </c>
    </row>
    <row r="2" spans="1:12" s="31" customFormat="1" ht="25.5" customHeight="1" thickBot="1">
      <c r="A2" s="608" t="s">
        <v>385</v>
      </c>
      <c r="B2" s="608"/>
      <c r="C2" s="608"/>
      <c r="D2" s="608"/>
      <c r="E2" s="608"/>
      <c r="F2" s="608"/>
      <c r="G2" s="608"/>
      <c r="H2" s="608"/>
      <c r="I2" s="23"/>
      <c r="J2" s="36" t="s">
        <v>11</v>
      </c>
      <c r="K2" s="30"/>
      <c r="L2" s="30"/>
    </row>
    <row r="3" spans="1:10" s="363" customFormat="1" ht="16.5">
      <c r="A3" s="383" t="s">
        <v>262</v>
      </c>
      <c r="B3" s="383">
        <v>1</v>
      </c>
      <c r="C3" s="361"/>
      <c r="D3" s="609"/>
      <c r="E3" s="609"/>
      <c r="F3" s="609"/>
      <c r="G3" s="609"/>
      <c r="H3" s="609"/>
      <c r="I3" s="609"/>
      <c r="J3" s="362"/>
    </row>
    <row r="4" spans="1:12" s="363" customFormat="1" ht="16.5">
      <c r="A4" s="223" t="s">
        <v>263</v>
      </c>
      <c r="B4" s="223">
        <v>1</v>
      </c>
      <c r="C4" s="361"/>
      <c r="D4" s="367"/>
      <c r="E4" s="367"/>
      <c r="F4" s="367"/>
      <c r="G4" s="367"/>
      <c r="H4" s="367"/>
      <c r="I4" s="367"/>
      <c r="J4" s="362"/>
      <c r="K4" s="402"/>
      <c r="L4" s="402"/>
    </row>
    <row r="5" spans="1:12" s="31" customFormat="1" ht="14.25">
      <c r="A5" s="223" t="s">
        <v>264</v>
      </c>
      <c r="B5" s="223">
        <v>1</v>
      </c>
      <c r="C5" s="46"/>
      <c r="D5" s="6"/>
      <c r="E5" s="23"/>
      <c r="F5" s="23"/>
      <c r="G5" s="23"/>
      <c r="H5" s="23"/>
      <c r="I5" s="23"/>
      <c r="J5" s="23"/>
      <c r="K5" s="23"/>
      <c r="L5" s="23"/>
    </row>
    <row r="6" spans="1:9" s="15" customFormat="1" ht="13.5">
      <c r="A6" s="607"/>
      <c r="B6" s="607"/>
      <c r="C6" s="251"/>
      <c r="D6" s="274"/>
      <c r="E6" s="9"/>
      <c r="F6" s="9"/>
      <c r="H6" s="301" t="s">
        <v>220</v>
      </c>
      <c r="I6" s="300"/>
    </row>
    <row r="7" spans="1:12" s="15" customFormat="1" ht="13.5" customHeight="1">
      <c r="A7" s="595" t="s">
        <v>265</v>
      </c>
      <c r="B7" s="595"/>
      <c r="C7" s="611"/>
      <c r="D7" s="612"/>
      <c r="E7" s="50" t="s">
        <v>229</v>
      </c>
      <c r="F7" s="50" t="s">
        <v>342</v>
      </c>
      <c r="G7" s="60" t="s">
        <v>344</v>
      </c>
      <c r="H7" s="60"/>
      <c r="I7" s="60"/>
      <c r="J7" s="14"/>
      <c r="K7" s="52" t="s">
        <v>345</v>
      </c>
      <c r="L7" s="52" t="s">
        <v>362</v>
      </c>
    </row>
    <row r="8" spans="1:12" s="15" customFormat="1" ht="63.75">
      <c r="A8" s="368" t="s">
        <v>266</v>
      </c>
      <c r="B8" s="368" t="s">
        <v>267</v>
      </c>
      <c r="C8" s="323" t="s">
        <v>18</v>
      </c>
      <c r="D8" s="323" t="s">
        <v>234</v>
      </c>
      <c r="E8" s="14" t="s">
        <v>236</v>
      </c>
      <c r="F8" s="64" t="s">
        <v>13</v>
      </c>
      <c r="G8" s="14" t="s">
        <v>14</v>
      </c>
      <c r="H8" s="14" t="s">
        <v>380</v>
      </c>
      <c r="I8" s="14" t="s">
        <v>381</v>
      </c>
      <c r="J8" s="14" t="s">
        <v>195</v>
      </c>
      <c r="K8" s="14" t="s">
        <v>14</v>
      </c>
      <c r="L8" s="14" t="s">
        <v>14</v>
      </c>
    </row>
    <row r="9" spans="1:12" s="235" customFormat="1" ht="13.5">
      <c r="A9" s="377">
        <v>1</v>
      </c>
      <c r="B9" s="377">
        <v>2</v>
      </c>
      <c r="C9" s="377">
        <v>3</v>
      </c>
      <c r="D9" s="377">
        <v>4</v>
      </c>
      <c r="E9" s="377">
        <v>5</v>
      </c>
      <c r="F9" s="377">
        <v>6</v>
      </c>
      <c r="G9" s="377">
        <v>7</v>
      </c>
      <c r="H9" s="377">
        <v>8</v>
      </c>
      <c r="I9" s="377">
        <v>9</v>
      </c>
      <c r="J9" s="377">
        <v>10</v>
      </c>
      <c r="K9" s="377">
        <v>11</v>
      </c>
      <c r="L9" s="377">
        <v>12</v>
      </c>
    </row>
    <row r="10" spans="1:12" s="169" customFormat="1" ht="14.25" customHeight="1">
      <c r="A10" s="610" t="s">
        <v>964</v>
      </c>
      <c r="B10" s="600">
        <v>11001</v>
      </c>
      <c r="C10" s="369"/>
      <c r="D10" s="242" t="s">
        <v>193</v>
      </c>
      <c r="E10" s="234">
        <v>87</v>
      </c>
      <c r="F10" s="234">
        <v>87</v>
      </c>
      <c r="G10" s="234">
        <v>87</v>
      </c>
      <c r="H10" s="234">
        <f>+G10-F10</f>
        <v>0</v>
      </c>
      <c r="I10" s="234">
        <f aca="true" t="shared" si="0" ref="I10:I40">G10-E10</f>
        <v>0</v>
      </c>
      <c r="J10" s="234"/>
      <c r="K10" s="234">
        <v>87</v>
      </c>
      <c r="L10" s="234">
        <v>87</v>
      </c>
    </row>
    <row r="11" spans="1:12" s="169" customFormat="1" ht="13.5" customHeight="1">
      <c r="A11" s="605"/>
      <c r="B11" s="601"/>
      <c r="C11" s="370"/>
      <c r="D11" s="243"/>
      <c r="E11" s="158"/>
      <c r="F11" s="158"/>
      <c r="G11" s="158"/>
      <c r="H11" s="158">
        <f aca="true" t="shared" si="1" ref="H11:H74">+G11-F11</f>
        <v>0</v>
      </c>
      <c r="I11" s="158">
        <f t="shared" si="0"/>
        <v>0</v>
      </c>
      <c r="J11" s="158"/>
      <c r="K11" s="158"/>
      <c r="L11" s="158"/>
    </row>
    <row r="12" spans="1:12" s="169" customFormat="1" ht="14.25" customHeight="1">
      <c r="A12" s="605"/>
      <c r="B12" s="601"/>
      <c r="C12" s="370"/>
      <c r="D12" s="244" t="s">
        <v>15</v>
      </c>
      <c r="E12" s="158">
        <v>8</v>
      </c>
      <c r="F12" s="158">
        <v>8</v>
      </c>
      <c r="G12" s="158">
        <v>8</v>
      </c>
      <c r="H12" s="158">
        <f t="shared" si="1"/>
        <v>0</v>
      </c>
      <c r="I12" s="158">
        <f t="shared" si="0"/>
        <v>0</v>
      </c>
      <c r="J12" s="158"/>
      <c r="K12" s="158">
        <v>8</v>
      </c>
      <c r="L12" s="158">
        <v>8</v>
      </c>
    </row>
    <row r="13" spans="1:12" s="237" customFormat="1" ht="14.25" customHeight="1">
      <c r="A13" s="605"/>
      <c r="B13" s="601"/>
      <c r="C13" s="370"/>
      <c r="D13" s="243"/>
      <c r="E13" s="158"/>
      <c r="F13" s="158"/>
      <c r="G13" s="158"/>
      <c r="H13" s="158">
        <f t="shared" si="1"/>
        <v>0</v>
      </c>
      <c r="I13" s="158">
        <f t="shared" si="0"/>
        <v>0</v>
      </c>
      <c r="J13" s="158"/>
      <c r="K13" s="158"/>
      <c r="L13" s="158"/>
    </row>
    <row r="14" spans="1:12" s="235" customFormat="1" ht="14.25" customHeight="1">
      <c r="A14" s="605"/>
      <c r="B14" s="601"/>
      <c r="C14" s="371"/>
      <c r="D14" s="252" t="s">
        <v>16</v>
      </c>
      <c r="E14" s="236">
        <f>+E16+E84</f>
        <v>428956.99999999994</v>
      </c>
      <c r="F14" s="236">
        <f>+F16+F84</f>
        <v>453874.3</v>
      </c>
      <c r="G14" s="236">
        <f>+G16+G84</f>
        <v>453428.93693016004</v>
      </c>
      <c r="H14" s="236">
        <f t="shared" si="1"/>
        <v>-445.3630698399502</v>
      </c>
      <c r="I14" s="236">
        <f t="shared" si="0"/>
        <v>24471.936930160096</v>
      </c>
      <c r="J14" s="236"/>
      <c r="K14" s="236">
        <f>+K16+K84</f>
        <v>453428.9</v>
      </c>
      <c r="L14" s="236">
        <f>+L16+L84</f>
        <v>453428.9</v>
      </c>
    </row>
    <row r="15" spans="1:12" s="235" customFormat="1" ht="14.25" customHeight="1">
      <c r="A15" s="605"/>
      <c r="B15" s="601"/>
      <c r="C15" s="372"/>
      <c r="D15" s="16" t="s">
        <v>235</v>
      </c>
      <c r="E15" s="158"/>
      <c r="F15" s="158"/>
      <c r="G15" s="158"/>
      <c r="H15" s="158"/>
      <c r="I15" s="158"/>
      <c r="J15" s="158"/>
      <c r="K15" s="158"/>
      <c r="L15" s="158"/>
    </row>
    <row r="16" spans="1:12" s="235" customFormat="1" ht="14.25" customHeight="1">
      <c r="A16" s="605"/>
      <c r="B16" s="601"/>
      <c r="C16" s="373"/>
      <c r="D16" s="245" t="s">
        <v>19</v>
      </c>
      <c r="E16" s="236">
        <f>E18+SUM(E23:E82)-E23-E28-E36-E50-E54-E73</f>
        <v>416202.5999999999</v>
      </c>
      <c r="F16" s="236">
        <f>F18+SUM(F23:F82)-F23-F28-F36-F50-F54-F73</f>
        <v>453874.3</v>
      </c>
      <c r="G16" s="236">
        <f>G18+SUM(G23:G82)-G23-G28-G36-G50-G54-G73</f>
        <v>453428.93693016004</v>
      </c>
      <c r="H16" s="236">
        <f>+G16-F16</f>
        <v>-445.3630698399502</v>
      </c>
      <c r="I16" s="236">
        <f>G16-E16</f>
        <v>37226.33693016012</v>
      </c>
      <c r="J16" s="236"/>
      <c r="K16" s="236">
        <f>K18+SUM(K23:K82)-K23-K28-K36-K50-K54-K73</f>
        <v>453428.9</v>
      </c>
      <c r="L16" s="236">
        <f>L18+SUM(L23:L82)-L23-L28-L36-L50-L54-L73</f>
        <v>453428.9</v>
      </c>
    </row>
    <row r="17" spans="1:12" s="235" customFormat="1" ht="13.5" customHeight="1">
      <c r="A17" s="605"/>
      <c r="B17" s="601"/>
      <c r="C17" s="369"/>
      <c r="D17" s="243" t="s">
        <v>55</v>
      </c>
      <c r="E17" s="234"/>
      <c r="F17" s="234"/>
      <c r="G17" s="158"/>
      <c r="H17" s="158">
        <f>+G17-F17</f>
        <v>0</v>
      </c>
      <c r="I17" s="158">
        <f>G17-E17</f>
        <v>0</v>
      </c>
      <c r="J17" s="234"/>
      <c r="K17" s="158"/>
      <c r="L17" s="158"/>
    </row>
    <row r="18" spans="1:12" s="235" customFormat="1" ht="14.25">
      <c r="A18" s="605"/>
      <c r="B18" s="601"/>
      <c r="C18" s="374"/>
      <c r="D18" s="325" t="s">
        <v>287</v>
      </c>
      <c r="E18" s="326">
        <f>SUM(E20:E22)</f>
        <v>373639.89999999997</v>
      </c>
      <c r="F18" s="326">
        <f>SUM(F20:F22)</f>
        <v>384651.9</v>
      </c>
      <c r="G18" s="326">
        <f>SUM(G20:G22)</f>
        <v>384651.9</v>
      </c>
      <c r="H18" s="326">
        <f>+G18-F18</f>
        <v>0</v>
      </c>
      <c r="I18" s="326">
        <f>G18-E18</f>
        <v>11012.000000000058</v>
      </c>
      <c r="J18" s="326"/>
      <c r="K18" s="326">
        <f>SUM(K20:K22)</f>
        <v>384651.9</v>
      </c>
      <c r="L18" s="326">
        <f>SUM(L20:L22)</f>
        <v>384651.9</v>
      </c>
    </row>
    <row r="19" spans="1:12" s="235" customFormat="1" ht="13.5">
      <c r="A19" s="380"/>
      <c r="B19" s="378"/>
      <c r="C19" s="369"/>
      <c r="D19" s="243" t="s">
        <v>55</v>
      </c>
      <c r="E19" s="234"/>
      <c r="F19" s="234"/>
      <c r="G19" s="158"/>
      <c r="H19" s="158">
        <f t="shared" si="1"/>
        <v>0</v>
      </c>
      <c r="I19" s="234">
        <f t="shared" si="0"/>
        <v>0</v>
      </c>
      <c r="J19" s="234"/>
      <c r="K19" s="158"/>
      <c r="L19" s="158"/>
    </row>
    <row r="20" spans="1:12" s="235" customFormat="1" ht="28.5">
      <c r="A20" s="380"/>
      <c r="B20" s="378"/>
      <c r="C20" s="375" t="s">
        <v>185</v>
      </c>
      <c r="D20" s="246" t="s">
        <v>20</v>
      </c>
      <c r="E20" s="234">
        <v>294884</v>
      </c>
      <c r="F20" s="234">
        <v>299173.7</v>
      </c>
      <c r="G20" s="234">
        <v>299173.7</v>
      </c>
      <c r="H20" s="234">
        <f t="shared" si="1"/>
        <v>0</v>
      </c>
      <c r="I20" s="234">
        <f t="shared" si="0"/>
        <v>4289.700000000012</v>
      </c>
      <c r="J20" s="234"/>
      <c r="K20" s="234">
        <v>299173.7</v>
      </c>
      <c r="L20" s="234">
        <v>299173.7</v>
      </c>
    </row>
    <row r="21" spans="1:12" s="238" customFormat="1" ht="28.5">
      <c r="A21" s="380"/>
      <c r="B21" s="378"/>
      <c r="C21" s="375" t="s">
        <v>186</v>
      </c>
      <c r="D21" s="247" t="s">
        <v>21</v>
      </c>
      <c r="E21" s="234">
        <v>54314.1</v>
      </c>
      <c r="F21" s="234">
        <v>61064.2</v>
      </c>
      <c r="G21" s="234">
        <v>61064.2</v>
      </c>
      <c r="H21" s="234">
        <f t="shared" si="1"/>
        <v>0</v>
      </c>
      <c r="I21" s="234">
        <f t="shared" si="0"/>
        <v>6750.0999999999985</v>
      </c>
      <c r="J21" s="234"/>
      <c r="K21" s="234">
        <v>61064.2</v>
      </c>
      <c r="L21" s="234">
        <v>61064.2</v>
      </c>
    </row>
    <row r="22" spans="1:12" s="238" customFormat="1" ht="28.5">
      <c r="A22" s="380"/>
      <c r="B22" s="378"/>
      <c r="C22" s="375" t="s">
        <v>187</v>
      </c>
      <c r="D22" s="247" t="s">
        <v>22</v>
      </c>
      <c r="E22" s="234">
        <v>24441.8</v>
      </c>
      <c r="F22" s="234">
        <v>24414</v>
      </c>
      <c r="G22" s="234">
        <v>24414</v>
      </c>
      <c r="H22" s="234">
        <f t="shared" si="1"/>
        <v>0</v>
      </c>
      <c r="I22" s="234">
        <f t="shared" si="0"/>
        <v>-27.799999999999272</v>
      </c>
      <c r="J22" s="234"/>
      <c r="K22" s="234">
        <v>24414</v>
      </c>
      <c r="L22" s="234">
        <v>24414</v>
      </c>
    </row>
    <row r="23" spans="1:12" s="238" customFormat="1" ht="14.25">
      <c r="A23" s="380"/>
      <c r="B23" s="378"/>
      <c r="C23" s="376">
        <v>4212</v>
      </c>
      <c r="D23" s="325" t="s">
        <v>23</v>
      </c>
      <c r="E23" s="326">
        <f>E25+E26+E27</f>
        <v>6058.7</v>
      </c>
      <c r="F23" s="326">
        <f>F25+F26+F27</f>
        <v>7578.2</v>
      </c>
      <c r="G23" s="326">
        <f>G25+G26+G27</f>
        <v>6332.26713816</v>
      </c>
      <c r="H23" s="326">
        <f t="shared" si="1"/>
        <v>-1245.9328618399995</v>
      </c>
      <c r="I23" s="326">
        <f t="shared" si="0"/>
        <v>273.56713816000047</v>
      </c>
      <c r="J23" s="326"/>
      <c r="K23" s="326">
        <f>K25+K26+K27</f>
        <v>6332.2</v>
      </c>
      <c r="L23" s="326">
        <f>L25+L26+L27</f>
        <v>6332.2</v>
      </c>
    </row>
    <row r="24" spans="1:12" s="238" customFormat="1" ht="13.5">
      <c r="A24" s="380"/>
      <c r="B24" s="378"/>
      <c r="C24" s="375"/>
      <c r="D24" s="243" t="s">
        <v>55</v>
      </c>
      <c r="E24" s="253"/>
      <c r="F24" s="253"/>
      <c r="G24" s="253"/>
      <c r="H24" s="253">
        <f t="shared" si="1"/>
        <v>0</v>
      </c>
      <c r="I24" s="253">
        <f t="shared" si="0"/>
        <v>0</v>
      </c>
      <c r="J24" s="253"/>
      <c r="K24" s="253"/>
      <c r="L24" s="253"/>
    </row>
    <row r="25" spans="1:12" s="238" customFormat="1" ht="13.5">
      <c r="A25" s="380"/>
      <c r="B25" s="378"/>
      <c r="C25" s="375"/>
      <c r="D25" s="243" t="s">
        <v>23</v>
      </c>
      <c r="E25" s="253">
        <v>3400</v>
      </c>
      <c r="F25" s="253">
        <v>4450.4</v>
      </c>
      <c r="G25" s="253">
        <f>'7-էլ-էներգիա'!I23</f>
        <v>4109.03087088</v>
      </c>
      <c r="H25" s="253">
        <f t="shared" si="1"/>
        <v>-341.36912911999934</v>
      </c>
      <c r="I25" s="253">
        <f t="shared" si="0"/>
        <v>709.0308708800003</v>
      </c>
      <c r="J25" s="253"/>
      <c r="K25" s="253">
        <v>4109</v>
      </c>
      <c r="L25" s="253">
        <v>4109</v>
      </c>
    </row>
    <row r="26" spans="1:12" s="238" customFormat="1" ht="13.5">
      <c r="A26" s="380"/>
      <c r="B26" s="378"/>
      <c r="C26" s="375"/>
      <c r="D26" s="243" t="s">
        <v>194</v>
      </c>
      <c r="E26" s="253">
        <v>380.5</v>
      </c>
      <c r="F26" s="253">
        <v>380.5</v>
      </c>
      <c r="G26" s="253">
        <v>0</v>
      </c>
      <c r="H26" s="253">
        <f t="shared" si="1"/>
        <v>-380.5</v>
      </c>
      <c r="I26" s="253">
        <f t="shared" si="0"/>
        <v>-380.5</v>
      </c>
      <c r="J26" s="253"/>
      <c r="K26" s="253"/>
      <c r="L26" s="253"/>
    </row>
    <row r="27" spans="1:12" s="238" customFormat="1" ht="13.5">
      <c r="A27" s="380"/>
      <c r="B27" s="378"/>
      <c r="C27" s="375"/>
      <c r="D27" s="243" t="s">
        <v>237</v>
      </c>
      <c r="E27" s="253">
        <v>2278.2</v>
      </c>
      <c r="F27" s="253">
        <v>2747.3</v>
      </c>
      <c r="G27" s="253">
        <f>'9-գազով ջեռուցում'!M15</f>
        <v>2223.23626728</v>
      </c>
      <c r="H27" s="253">
        <f t="shared" si="1"/>
        <v>-524.0637327200002</v>
      </c>
      <c r="I27" s="253">
        <f t="shared" si="0"/>
        <v>-54.963732719999825</v>
      </c>
      <c r="J27" s="253"/>
      <c r="K27" s="253">
        <v>2223.2</v>
      </c>
      <c r="L27" s="253">
        <v>2223.2</v>
      </c>
    </row>
    <row r="28" spans="1:12" s="238" customFormat="1" ht="14.25">
      <c r="A28" s="380"/>
      <c r="B28" s="378"/>
      <c r="C28" s="376">
        <v>4213</v>
      </c>
      <c r="D28" s="325" t="s">
        <v>24</v>
      </c>
      <c r="E28" s="326">
        <f>E30+E31</f>
        <v>401.9</v>
      </c>
      <c r="F28" s="326">
        <f>F30+F31</f>
        <v>153.70000000000002</v>
      </c>
      <c r="G28" s="326">
        <f>G30+G31</f>
        <v>402.2</v>
      </c>
      <c r="H28" s="326">
        <f t="shared" si="1"/>
        <v>248.49999999999997</v>
      </c>
      <c r="I28" s="326">
        <f t="shared" si="0"/>
        <v>0.30000000000001137</v>
      </c>
      <c r="J28" s="326"/>
      <c r="K28" s="326">
        <f>K30+K31</f>
        <v>402.2</v>
      </c>
      <c r="L28" s="326">
        <f>L30+L31</f>
        <v>402.2</v>
      </c>
    </row>
    <row r="29" spans="1:12" s="238" customFormat="1" ht="13.5">
      <c r="A29" s="380"/>
      <c r="B29" s="378"/>
      <c r="C29" s="375"/>
      <c r="D29" s="243" t="s">
        <v>55</v>
      </c>
      <c r="E29" s="253"/>
      <c r="F29" s="253"/>
      <c r="G29" s="253"/>
      <c r="H29" s="253">
        <f t="shared" si="1"/>
        <v>0</v>
      </c>
      <c r="I29" s="253">
        <f t="shared" si="0"/>
        <v>0</v>
      </c>
      <c r="J29" s="253"/>
      <c r="K29" s="253"/>
      <c r="L29" s="253"/>
    </row>
    <row r="30" spans="1:12" s="238" customFormat="1" ht="67.5">
      <c r="A30" s="380"/>
      <c r="B30" s="378"/>
      <c r="C30" s="375"/>
      <c r="D30" s="249" t="s">
        <v>25</v>
      </c>
      <c r="E30" s="253">
        <v>377.9</v>
      </c>
      <c r="F30" s="253">
        <v>129.4</v>
      </c>
      <c r="G30" s="253">
        <f>'3-Ծախսերի բացվածք'!G19</f>
        <v>377.9</v>
      </c>
      <c r="H30" s="253">
        <f t="shared" si="1"/>
        <v>248.49999999999997</v>
      </c>
      <c r="I30" s="253">
        <f t="shared" si="0"/>
        <v>0</v>
      </c>
      <c r="J30" s="253" t="s">
        <v>955</v>
      </c>
      <c r="K30" s="253">
        <v>377.9</v>
      </c>
      <c r="L30" s="253">
        <v>377.9</v>
      </c>
    </row>
    <row r="31" spans="1:12" s="238" customFormat="1" ht="27">
      <c r="A31" s="380"/>
      <c r="B31" s="378"/>
      <c r="C31" s="375"/>
      <c r="D31" s="249" t="s">
        <v>188</v>
      </c>
      <c r="E31" s="253">
        <v>24</v>
      </c>
      <c r="F31" s="253">
        <v>24.3</v>
      </c>
      <c r="G31" s="253">
        <v>24.3</v>
      </c>
      <c r="H31" s="253">
        <f t="shared" si="1"/>
        <v>0</v>
      </c>
      <c r="I31" s="253">
        <f t="shared" si="0"/>
        <v>0.3000000000000007</v>
      </c>
      <c r="J31" s="253"/>
      <c r="K31" s="253">
        <v>24.3</v>
      </c>
      <c r="L31" s="253">
        <v>24.3</v>
      </c>
    </row>
    <row r="32" spans="1:12" s="238" customFormat="1" ht="14.25">
      <c r="A32" s="380"/>
      <c r="B32" s="378"/>
      <c r="C32" s="375">
        <v>4214</v>
      </c>
      <c r="D32" s="248" t="s">
        <v>26</v>
      </c>
      <c r="E32" s="253">
        <v>4063.7</v>
      </c>
      <c r="F32" s="253">
        <v>5102.1</v>
      </c>
      <c r="G32" s="253">
        <f>'3-Ծախսերի բացվածք'!G22</f>
        <v>5536.569792000001</v>
      </c>
      <c r="H32" s="253">
        <f t="shared" si="1"/>
        <v>434.4697920000008</v>
      </c>
      <c r="I32" s="253">
        <f t="shared" si="0"/>
        <v>1472.8697920000013</v>
      </c>
      <c r="J32" s="253"/>
      <c r="K32" s="253">
        <v>5536.6</v>
      </c>
      <c r="L32" s="253">
        <v>5536.6</v>
      </c>
    </row>
    <row r="33" spans="1:12" s="235" customFormat="1" ht="23.25" customHeight="1">
      <c r="A33" s="380"/>
      <c r="B33" s="378"/>
      <c r="C33" s="375">
        <v>4215</v>
      </c>
      <c r="D33" s="248" t="s">
        <v>27</v>
      </c>
      <c r="E33" s="253">
        <v>128</v>
      </c>
      <c r="F33" s="253">
        <v>160</v>
      </c>
      <c r="G33" s="253">
        <v>160</v>
      </c>
      <c r="H33" s="253">
        <f t="shared" si="1"/>
        <v>0</v>
      </c>
      <c r="I33" s="253">
        <f t="shared" si="0"/>
        <v>32</v>
      </c>
      <c r="J33" s="253"/>
      <c r="K33" s="253">
        <v>160</v>
      </c>
      <c r="L33" s="253">
        <v>160</v>
      </c>
    </row>
    <row r="34" spans="1:12" s="169" customFormat="1" ht="14.25">
      <c r="A34" s="380"/>
      <c r="B34" s="378"/>
      <c r="C34" s="375">
        <v>4216</v>
      </c>
      <c r="D34" s="248" t="s">
        <v>28</v>
      </c>
      <c r="E34" s="253"/>
      <c r="F34" s="253"/>
      <c r="G34" s="253"/>
      <c r="H34" s="253">
        <f t="shared" si="1"/>
        <v>0</v>
      </c>
      <c r="I34" s="253">
        <f t="shared" si="0"/>
        <v>0</v>
      </c>
      <c r="J34" s="253"/>
      <c r="K34" s="253"/>
      <c r="L34" s="253"/>
    </row>
    <row r="35" spans="1:12" s="169" customFormat="1" ht="14.25">
      <c r="A35" s="380"/>
      <c r="B35" s="378"/>
      <c r="C35" s="375">
        <v>4217</v>
      </c>
      <c r="D35" s="248" t="s">
        <v>29</v>
      </c>
      <c r="E35" s="253"/>
      <c r="F35" s="253"/>
      <c r="G35" s="253"/>
      <c r="H35" s="253">
        <f t="shared" si="1"/>
        <v>0</v>
      </c>
      <c r="I35" s="253">
        <f t="shared" si="0"/>
        <v>0</v>
      </c>
      <c r="J35" s="253"/>
      <c r="K35" s="253"/>
      <c r="L35" s="253"/>
    </row>
    <row r="36" spans="1:12" s="169" customFormat="1" ht="14.25">
      <c r="A36" s="380"/>
      <c r="B36" s="378"/>
      <c r="C36" s="376"/>
      <c r="D36" s="325" t="s">
        <v>254</v>
      </c>
      <c r="E36" s="326">
        <f>E38+E39</f>
        <v>946.6</v>
      </c>
      <c r="F36" s="326">
        <f>F38+F39</f>
        <v>4759.2</v>
      </c>
      <c r="G36" s="326">
        <f>G38+G39</f>
        <v>4759.2</v>
      </c>
      <c r="H36" s="326">
        <f t="shared" si="1"/>
        <v>0</v>
      </c>
      <c r="I36" s="326">
        <f t="shared" si="0"/>
        <v>3812.6</v>
      </c>
      <c r="J36" s="326"/>
      <c r="K36" s="326">
        <f>K38+K39</f>
        <v>4759.2</v>
      </c>
      <c r="L36" s="326">
        <f>L38+L39</f>
        <v>4759.2</v>
      </c>
    </row>
    <row r="37" spans="1:12" s="169" customFormat="1" ht="13.5">
      <c r="A37" s="380"/>
      <c r="B37" s="378"/>
      <c r="C37" s="375"/>
      <c r="D37" s="243" t="s">
        <v>55</v>
      </c>
      <c r="E37" s="158"/>
      <c r="F37" s="158"/>
      <c r="G37" s="158"/>
      <c r="H37" s="158">
        <f t="shared" si="1"/>
        <v>0</v>
      </c>
      <c r="I37" s="158">
        <f t="shared" si="0"/>
        <v>0</v>
      </c>
      <c r="J37" s="158"/>
      <c r="K37" s="158"/>
      <c r="L37" s="158"/>
    </row>
    <row r="38" spans="1:12" s="169" customFormat="1" ht="13.5">
      <c r="A38" s="380"/>
      <c r="B38" s="378"/>
      <c r="C38" s="375">
        <v>4221</v>
      </c>
      <c r="D38" s="243" t="s">
        <v>30</v>
      </c>
      <c r="E38" s="158">
        <v>946.6</v>
      </c>
      <c r="F38" s="158">
        <v>4759.2</v>
      </c>
      <c r="G38" s="158">
        <v>4759.2</v>
      </c>
      <c r="H38" s="158">
        <f t="shared" si="1"/>
        <v>0</v>
      </c>
      <c r="I38" s="158">
        <f t="shared" si="0"/>
        <v>3812.6</v>
      </c>
      <c r="J38" s="158"/>
      <c r="K38" s="158">
        <v>4759.2</v>
      </c>
      <c r="L38" s="158">
        <v>4759.2</v>
      </c>
    </row>
    <row r="39" spans="1:12" s="169" customFormat="1" ht="13.5">
      <c r="A39" s="380"/>
      <c r="B39" s="378"/>
      <c r="C39" s="375">
        <v>4222</v>
      </c>
      <c r="D39" s="243" t="s">
        <v>31</v>
      </c>
      <c r="E39" s="158"/>
      <c r="F39" s="158"/>
      <c r="G39" s="158"/>
      <c r="H39" s="158">
        <f t="shared" si="1"/>
        <v>0</v>
      </c>
      <c r="I39" s="158">
        <f t="shared" si="0"/>
        <v>0</v>
      </c>
      <c r="J39" s="158"/>
      <c r="K39" s="158"/>
      <c r="L39" s="158"/>
    </row>
    <row r="40" spans="1:12" s="238" customFormat="1" ht="19.5" customHeight="1">
      <c r="A40" s="380"/>
      <c r="B40" s="378"/>
      <c r="C40" s="375">
        <v>4231</v>
      </c>
      <c r="D40" s="244" t="s">
        <v>32</v>
      </c>
      <c r="E40" s="158"/>
      <c r="F40" s="158"/>
      <c r="G40" s="158"/>
      <c r="H40" s="158">
        <f t="shared" si="1"/>
        <v>0</v>
      </c>
      <c r="I40" s="158">
        <f t="shared" si="0"/>
        <v>0</v>
      </c>
      <c r="J40" s="158"/>
      <c r="K40" s="158"/>
      <c r="L40" s="158"/>
    </row>
    <row r="41" spans="1:12" s="238" customFormat="1" ht="16.5">
      <c r="A41" s="380"/>
      <c r="B41" s="378"/>
      <c r="C41" s="375">
        <v>4232</v>
      </c>
      <c r="D41" s="244" t="s">
        <v>33</v>
      </c>
      <c r="E41" s="158">
        <v>1899</v>
      </c>
      <c r="F41" s="158">
        <v>5474</v>
      </c>
      <c r="G41" s="158">
        <f>'3-Ծախսերի բացվածք'!G52</f>
        <v>5474</v>
      </c>
      <c r="H41" s="158">
        <f t="shared" si="1"/>
        <v>0</v>
      </c>
      <c r="I41" s="158">
        <f aca="true" t="shared" si="2" ref="I41:I74">G41-E41</f>
        <v>3575</v>
      </c>
      <c r="J41" s="358"/>
      <c r="K41" s="158">
        <v>5474</v>
      </c>
      <c r="L41" s="158">
        <v>5474</v>
      </c>
    </row>
    <row r="42" spans="1:12" s="238" customFormat="1" ht="28.5">
      <c r="A42" s="380"/>
      <c r="B42" s="378"/>
      <c r="C42" s="375">
        <v>4233</v>
      </c>
      <c r="D42" s="244" t="s">
        <v>231</v>
      </c>
      <c r="E42" s="158"/>
      <c r="F42" s="158"/>
      <c r="G42" s="158"/>
      <c r="H42" s="158">
        <f t="shared" si="1"/>
        <v>0</v>
      </c>
      <c r="I42" s="158">
        <f t="shared" si="2"/>
        <v>0</v>
      </c>
      <c r="J42" s="358"/>
      <c r="K42" s="158"/>
      <c r="L42" s="158"/>
    </row>
    <row r="43" spans="1:12" s="238" customFormat="1" ht="18.75" customHeight="1">
      <c r="A43" s="380"/>
      <c r="B43" s="378"/>
      <c r="C43" s="375">
        <v>4234</v>
      </c>
      <c r="D43" s="244" t="s">
        <v>34</v>
      </c>
      <c r="E43" s="253">
        <v>75.9</v>
      </c>
      <c r="F43" s="253">
        <v>200</v>
      </c>
      <c r="G43" s="253">
        <v>200</v>
      </c>
      <c r="H43" s="253">
        <f t="shared" si="1"/>
        <v>0</v>
      </c>
      <c r="I43" s="253">
        <f t="shared" si="2"/>
        <v>124.1</v>
      </c>
      <c r="J43" s="253"/>
      <c r="K43" s="253">
        <v>200</v>
      </c>
      <c r="L43" s="253">
        <v>200</v>
      </c>
    </row>
    <row r="44" spans="1:12" s="235" customFormat="1" ht="18.75" customHeight="1">
      <c r="A44" s="380"/>
      <c r="B44" s="378"/>
      <c r="C44" s="375">
        <v>4235</v>
      </c>
      <c r="D44" s="244" t="s">
        <v>35</v>
      </c>
      <c r="E44" s="253"/>
      <c r="F44" s="253">
        <v>8280</v>
      </c>
      <c r="G44" s="253">
        <v>8280</v>
      </c>
      <c r="H44" s="253">
        <f t="shared" si="1"/>
        <v>0</v>
      </c>
      <c r="I44" s="253">
        <f t="shared" si="2"/>
        <v>8280</v>
      </c>
      <c r="J44" s="253"/>
      <c r="K44" s="253">
        <v>8280</v>
      </c>
      <c r="L44" s="253">
        <v>8280</v>
      </c>
    </row>
    <row r="45" spans="1:12" s="238" customFormat="1" ht="28.5">
      <c r="A45" s="380"/>
      <c r="B45" s="378"/>
      <c r="C45" s="375">
        <v>4236</v>
      </c>
      <c r="D45" s="244" t="s">
        <v>36</v>
      </c>
      <c r="E45" s="253"/>
      <c r="F45" s="253"/>
      <c r="G45" s="253"/>
      <c r="H45" s="253">
        <f t="shared" si="1"/>
        <v>0</v>
      </c>
      <c r="I45" s="253">
        <f t="shared" si="2"/>
        <v>0</v>
      </c>
      <c r="J45" s="253"/>
      <c r="K45" s="253"/>
      <c r="L45" s="253"/>
    </row>
    <row r="46" spans="1:12" s="235" customFormat="1" ht="18.75" customHeight="1">
      <c r="A46" s="380"/>
      <c r="B46" s="378"/>
      <c r="C46" s="375">
        <v>4237</v>
      </c>
      <c r="D46" s="244" t="s">
        <v>37</v>
      </c>
      <c r="E46" s="253">
        <v>300</v>
      </c>
      <c r="F46" s="253">
        <v>300</v>
      </c>
      <c r="G46" s="253">
        <v>300</v>
      </c>
      <c r="H46" s="253">
        <f t="shared" si="1"/>
        <v>0</v>
      </c>
      <c r="I46" s="253">
        <f t="shared" si="2"/>
        <v>0</v>
      </c>
      <c r="J46" s="253"/>
      <c r="K46" s="253">
        <v>300</v>
      </c>
      <c r="L46" s="253">
        <v>300</v>
      </c>
    </row>
    <row r="47" spans="1:12" s="235" customFormat="1" ht="18.75" customHeight="1">
      <c r="A47" s="380"/>
      <c r="B47" s="378"/>
      <c r="C47" s="375">
        <v>4239</v>
      </c>
      <c r="D47" s="242" t="s">
        <v>38</v>
      </c>
      <c r="E47" s="234"/>
      <c r="F47" s="234">
        <v>100</v>
      </c>
      <c r="G47" s="234">
        <f>'3-Ծախսերի բացվածք'!G81</f>
        <v>100</v>
      </c>
      <c r="H47" s="234">
        <f t="shared" si="1"/>
        <v>0</v>
      </c>
      <c r="I47" s="234">
        <f t="shared" si="2"/>
        <v>100</v>
      </c>
      <c r="J47" s="234"/>
      <c r="K47" s="234">
        <v>100</v>
      </c>
      <c r="L47" s="234">
        <v>100</v>
      </c>
    </row>
    <row r="48" spans="1:12" s="235" customFormat="1" ht="18.75" customHeight="1">
      <c r="A48" s="380"/>
      <c r="B48" s="378"/>
      <c r="C48" s="375">
        <v>4241</v>
      </c>
      <c r="D48" s="244" t="s">
        <v>39</v>
      </c>
      <c r="E48" s="253">
        <v>84.5</v>
      </c>
      <c r="F48" s="253">
        <v>429.7</v>
      </c>
      <c r="G48" s="253">
        <v>429.7</v>
      </c>
      <c r="H48" s="253">
        <f t="shared" si="1"/>
        <v>0</v>
      </c>
      <c r="I48" s="253">
        <f t="shared" si="2"/>
        <v>345.2</v>
      </c>
      <c r="J48" s="253"/>
      <c r="K48" s="253">
        <v>429.7</v>
      </c>
      <c r="L48" s="253">
        <v>429.7</v>
      </c>
    </row>
    <row r="49" spans="1:12" s="235" customFormat="1" ht="28.5">
      <c r="A49" s="380"/>
      <c r="B49" s="378"/>
      <c r="C49" s="375">
        <v>4251</v>
      </c>
      <c r="D49" s="242" t="s">
        <v>40</v>
      </c>
      <c r="E49" s="234"/>
      <c r="F49" s="234"/>
      <c r="G49" s="234"/>
      <c r="H49" s="234">
        <f t="shared" si="1"/>
        <v>0</v>
      </c>
      <c r="I49" s="234">
        <f t="shared" si="2"/>
        <v>0</v>
      </c>
      <c r="J49" s="234"/>
      <c r="K49" s="234"/>
      <c r="L49" s="234"/>
    </row>
    <row r="50" spans="1:12" s="235" customFormat="1" ht="28.5">
      <c r="A50" s="380"/>
      <c r="B50" s="378"/>
      <c r="C50" s="376">
        <v>4252</v>
      </c>
      <c r="D50" s="325" t="s">
        <v>41</v>
      </c>
      <c r="E50" s="326">
        <f>E52+E53</f>
        <v>1036.9</v>
      </c>
      <c r="F50" s="326">
        <f>F52+F53</f>
        <v>1037.5</v>
      </c>
      <c r="G50" s="326">
        <f>G52+G53</f>
        <v>1037.5</v>
      </c>
      <c r="H50" s="326">
        <f t="shared" si="1"/>
        <v>0</v>
      </c>
      <c r="I50" s="326">
        <f t="shared" si="2"/>
        <v>0.599999999999909</v>
      </c>
      <c r="J50" s="326"/>
      <c r="K50" s="326">
        <f>K52+K53</f>
        <v>1037.5</v>
      </c>
      <c r="L50" s="326">
        <f>L52+L53</f>
        <v>1037.5</v>
      </c>
    </row>
    <row r="51" spans="1:12" s="235" customFormat="1" ht="13.5">
      <c r="A51" s="380"/>
      <c r="B51" s="378"/>
      <c r="C51" s="375"/>
      <c r="D51" s="243" t="s">
        <v>55</v>
      </c>
      <c r="E51" s="234"/>
      <c r="F51" s="234"/>
      <c r="G51" s="234"/>
      <c r="H51" s="234">
        <f t="shared" si="1"/>
        <v>0</v>
      </c>
      <c r="I51" s="234">
        <f t="shared" si="2"/>
        <v>0</v>
      </c>
      <c r="J51" s="234"/>
      <c r="K51" s="234"/>
      <c r="L51" s="234"/>
    </row>
    <row r="52" spans="1:12" s="238" customFormat="1" ht="27">
      <c r="A52" s="380"/>
      <c r="B52" s="378"/>
      <c r="C52" s="375"/>
      <c r="D52" s="250" t="s">
        <v>42</v>
      </c>
      <c r="E52" s="234">
        <v>756</v>
      </c>
      <c r="F52" s="234">
        <v>756</v>
      </c>
      <c r="G52" s="234">
        <v>756</v>
      </c>
      <c r="H52" s="234">
        <f t="shared" si="1"/>
        <v>0</v>
      </c>
      <c r="I52" s="234">
        <f t="shared" si="2"/>
        <v>0</v>
      </c>
      <c r="J52" s="234"/>
      <c r="K52" s="234">
        <v>756</v>
      </c>
      <c r="L52" s="234">
        <v>756</v>
      </c>
    </row>
    <row r="53" spans="1:12" s="238" customFormat="1" ht="27">
      <c r="A53" s="380"/>
      <c r="B53" s="378"/>
      <c r="C53" s="375"/>
      <c r="D53" s="250" t="s">
        <v>43</v>
      </c>
      <c r="E53" s="234">
        <v>280.9</v>
      </c>
      <c r="F53" s="234">
        <v>281.5</v>
      </c>
      <c r="G53" s="234">
        <v>281.5</v>
      </c>
      <c r="H53" s="234">
        <f t="shared" si="1"/>
        <v>0</v>
      </c>
      <c r="I53" s="234">
        <f t="shared" si="2"/>
        <v>0.6000000000000227</v>
      </c>
      <c r="J53" s="234"/>
      <c r="K53" s="234">
        <v>281.5</v>
      </c>
      <c r="L53" s="234">
        <v>281.5</v>
      </c>
    </row>
    <row r="54" spans="1:12" s="238" customFormat="1" ht="14.25">
      <c r="A54" s="380"/>
      <c r="B54" s="378"/>
      <c r="C54" s="376">
        <v>4261</v>
      </c>
      <c r="D54" s="325" t="s">
        <v>44</v>
      </c>
      <c r="E54" s="326">
        <f>E56+E57</f>
        <v>942.6</v>
      </c>
      <c r="F54" s="326">
        <f>F56+F57</f>
        <v>1183</v>
      </c>
      <c r="G54" s="326">
        <f>G56+G57</f>
        <v>1183</v>
      </c>
      <c r="H54" s="326">
        <f t="shared" si="1"/>
        <v>0</v>
      </c>
      <c r="I54" s="326">
        <f t="shared" si="2"/>
        <v>240.39999999999998</v>
      </c>
      <c r="J54" s="326"/>
      <c r="K54" s="326">
        <f>K56+K57</f>
        <v>1183</v>
      </c>
      <c r="L54" s="326">
        <f>L56+L57</f>
        <v>1183</v>
      </c>
    </row>
    <row r="55" spans="1:12" s="238" customFormat="1" ht="13.5">
      <c r="A55" s="380"/>
      <c r="B55" s="378"/>
      <c r="C55" s="375"/>
      <c r="D55" s="243" t="s">
        <v>55</v>
      </c>
      <c r="E55" s="253"/>
      <c r="F55" s="253"/>
      <c r="G55" s="253"/>
      <c r="H55" s="253">
        <f t="shared" si="1"/>
        <v>0</v>
      </c>
      <c r="I55" s="253">
        <f t="shared" si="2"/>
        <v>0</v>
      </c>
      <c r="J55" s="253"/>
      <c r="K55" s="253"/>
      <c r="L55" s="253"/>
    </row>
    <row r="56" spans="1:12" s="238" customFormat="1" ht="13.5">
      <c r="A56" s="380"/>
      <c r="B56" s="378"/>
      <c r="C56" s="375"/>
      <c r="D56" s="243" t="s">
        <v>45</v>
      </c>
      <c r="E56" s="253">
        <v>942.6</v>
      </c>
      <c r="F56" s="253">
        <v>1183</v>
      </c>
      <c r="G56" s="253">
        <v>1183</v>
      </c>
      <c r="H56" s="253">
        <f t="shared" si="1"/>
        <v>0</v>
      </c>
      <c r="I56" s="253">
        <f t="shared" si="2"/>
        <v>240.39999999999998</v>
      </c>
      <c r="J56" s="253"/>
      <c r="K56" s="253">
        <v>1183</v>
      </c>
      <c r="L56" s="253">
        <v>1183</v>
      </c>
    </row>
    <row r="57" spans="1:12" s="238" customFormat="1" ht="13.5">
      <c r="A57" s="380"/>
      <c r="B57" s="378"/>
      <c r="C57" s="375"/>
      <c r="D57" s="243" t="s">
        <v>46</v>
      </c>
      <c r="E57" s="253"/>
      <c r="F57" s="253"/>
      <c r="G57" s="253"/>
      <c r="H57" s="253">
        <f t="shared" si="1"/>
        <v>0</v>
      </c>
      <c r="I57" s="253">
        <f t="shared" si="2"/>
        <v>0</v>
      </c>
      <c r="J57" s="253"/>
      <c r="K57" s="253"/>
      <c r="L57" s="253"/>
    </row>
    <row r="58" spans="1:12" s="238" customFormat="1" ht="14.25">
      <c r="A58" s="380"/>
      <c r="B58" s="378"/>
      <c r="C58" s="375">
        <v>4262</v>
      </c>
      <c r="D58" s="244" t="s">
        <v>203</v>
      </c>
      <c r="E58" s="253"/>
      <c r="F58" s="253"/>
      <c r="G58" s="253"/>
      <c r="H58" s="253">
        <f t="shared" si="1"/>
        <v>0</v>
      </c>
      <c r="I58" s="253">
        <f t="shared" si="2"/>
        <v>0</v>
      </c>
      <c r="J58" s="253"/>
      <c r="K58" s="253"/>
      <c r="L58" s="253"/>
    </row>
    <row r="59" spans="1:12" s="238" customFormat="1" ht="14.25">
      <c r="A59" s="380"/>
      <c r="B59" s="378"/>
      <c r="C59" s="375">
        <v>4264</v>
      </c>
      <c r="D59" s="244" t="s">
        <v>202</v>
      </c>
      <c r="E59" s="253">
        <v>3466</v>
      </c>
      <c r="F59" s="253">
        <v>3979.4</v>
      </c>
      <c r="G59" s="253">
        <v>3979.4</v>
      </c>
      <c r="H59" s="253">
        <f t="shared" si="1"/>
        <v>0</v>
      </c>
      <c r="I59" s="253">
        <f t="shared" si="2"/>
        <v>513.4000000000001</v>
      </c>
      <c r="J59" s="253"/>
      <c r="K59" s="253">
        <v>3979.4</v>
      </c>
      <c r="L59" s="253">
        <v>3979.4</v>
      </c>
    </row>
    <row r="60" spans="1:12" s="238" customFormat="1" ht="22.5" customHeight="1">
      <c r="A60" s="380"/>
      <c r="B60" s="378"/>
      <c r="C60" s="375">
        <v>4266</v>
      </c>
      <c r="D60" s="244" t="s">
        <v>261</v>
      </c>
      <c r="E60" s="253"/>
      <c r="F60" s="253"/>
      <c r="G60" s="253"/>
      <c r="H60" s="253">
        <f t="shared" si="1"/>
        <v>0</v>
      </c>
      <c r="I60" s="253">
        <f t="shared" si="2"/>
        <v>0</v>
      </c>
      <c r="J60" s="253"/>
      <c r="K60" s="253"/>
      <c r="L60" s="253"/>
    </row>
    <row r="61" spans="1:12" s="238" customFormat="1" ht="14.25">
      <c r="A61" s="380"/>
      <c r="B61" s="378"/>
      <c r="C61" s="375">
        <v>4267</v>
      </c>
      <c r="D61" s="244" t="s">
        <v>204</v>
      </c>
      <c r="E61" s="253">
        <v>304.2</v>
      </c>
      <c r="F61" s="253">
        <v>309.4</v>
      </c>
      <c r="G61" s="253">
        <v>309.4</v>
      </c>
      <c r="H61" s="253">
        <f t="shared" si="1"/>
        <v>0</v>
      </c>
      <c r="I61" s="253">
        <f t="shared" si="2"/>
        <v>5.199999999999989</v>
      </c>
      <c r="J61" s="253"/>
      <c r="K61" s="253">
        <v>309.4</v>
      </c>
      <c r="L61" s="253">
        <v>309.4</v>
      </c>
    </row>
    <row r="62" spans="1:12" s="238" customFormat="1" ht="14.25">
      <c r="A62" s="380"/>
      <c r="B62" s="378"/>
      <c r="C62" s="375">
        <v>4269</v>
      </c>
      <c r="D62" s="244" t="s">
        <v>47</v>
      </c>
      <c r="E62" s="253"/>
      <c r="F62" s="253"/>
      <c r="G62" s="253"/>
      <c r="H62" s="253">
        <f t="shared" si="1"/>
        <v>0</v>
      </c>
      <c r="I62" s="253">
        <f t="shared" si="2"/>
        <v>0</v>
      </c>
      <c r="J62" s="253"/>
      <c r="K62" s="253"/>
      <c r="L62" s="253"/>
    </row>
    <row r="63" spans="1:12" s="238" customFormat="1" ht="28.5">
      <c r="A63" s="380"/>
      <c r="B63" s="378"/>
      <c r="C63" s="375">
        <v>4511</v>
      </c>
      <c r="D63" s="242" t="s">
        <v>48</v>
      </c>
      <c r="E63" s="253"/>
      <c r="F63" s="253"/>
      <c r="G63" s="253"/>
      <c r="H63" s="253">
        <f t="shared" si="1"/>
        <v>0</v>
      </c>
      <c r="I63" s="253">
        <f t="shared" si="2"/>
        <v>0</v>
      </c>
      <c r="J63" s="253"/>
      <c r="K63" s="253"/>
      <c r="L63" s="253"/>
    </row>
    <row r="64" spans="1:12" s="240" customFormat="1" ht="28.5">
      <c r="A64" s="380"/>
      <c r="B64" s="378"/>
      <c r="C64" s="375">
        <v>4621</v>
      </c>
      <c r="D64" s="242" t="s">
        <v>49</v>
      </c>
      <c r="E64" s="253"/>
      <c r="F64" s="253"/>
      <c r="G64" s="253"/>
      <c r="H64" s="253">
        <f t="shared" si="1"/>
        <v>0</v>
      </c>
      <c r="I64" s="253">
        <f t="shared" si="2"/>
        <v>0</v>
      </c>
      <c r="J64" s="359"/>
      <c r="K64" s="253"/>
      <c r="L64" s="253"/>
    </row>
    <row r="65" spans="1:12" s="240" customFormat="1" ht="28.5">
      <c r="A65" s="380"/>
      <c r="B65" s="378"/>
      <c r="C65" s="375">
        <v>4631</v>
      </c>
      <c r="D65" s="242" t="s">
        <v>230</v>
      </c>
      <c r="E65" s="253"/>
      <c r="F65" s="253"/>
      <c r="G65" s="253"/>
      <c r="H65" s="253">
        <f t="shared" si="1"/>
        <v>0</v>
      </c>
      <c r="I65" s="253">
        <f t="shared" si="2"/>
        <v>0</v>
      </c>
      <c r="J65" s="359"/>
      <c r="K65" s="253"/>
      <c r="L65" s="253"/>
    </row>
    <row r="66" spans="1:12" s="240" customFormat="1" ht="21.75" customHeight="1">
      <c r="A66" s="380"/>
      <c r="B66" s="378"/>
      <c r="C66" s="375">
        <v>4632</v>
      </c>
      <c r="D66" s="242" t="s">
        <v>192</v>
      </c>
      <c r="E66" s="253"/>
      <c r="F66" s="253"/>
      <c r="G66" s="253"/>
      <c r="H66" s="253">
        <f t="shared" si="1"/>
        <v>0</v>
      </c>
      <c r="I66" s="253">
        <f t="shared" si="2"/>
        <v>0</v>
      </c>
      <c r="J66" s="253"/>
      <c r="K66" s="253"/>
      <c r="L66" s="253"/>
    </row>
    <row r="67" spans="1:12" s="240" customFormat="1" ht="42" customHeight="1">
      <c r="A67" s="380"/>
      <c r="B67" s="378"/>
      <c r="C67" s="375" t="s">
        <v>338</v>
      </c>
      <c r="D67" s="242" t="s">
        <v>339</v>
      </c>
      <c r="E67" s="253"/>
      <c r="F67" s="253"/>
      <c r="G67" s="253"/>
      <c r="H67" s="253"/>
      <c r="I67" s="253"/>
      <c r="J67" s="253"/>
      <c r="K67" s="253"/>
      <c r="L67" s="253"/>
    </row>
    <row r="68" spans="1:12" s="240" customFormat="1" ht="48.75" customHeight="1">
      <c r="A68" s="380"/>
      <c r="B68" s="378"/>
      <c r="C68" s="375">
        <v>4638</v>
      </c>
      <c r="D68" s="242" t="s">
        <v>341</v>
      </c>
      <c r="E68" s="253"/>
      <c r="F68" s="253"/>
      <c r="G68" s="253"/>
      <c r="H68" s="253">
        <f t="shared" si="1"/>
        <v>0</v>
      </c>
      <c r="I68" s="253">
        <f t="shared" si="2"/>
        <v>0</v>
      </c>
      <c r="J68" s="253"/>
      <c r="K68" s="253"/>
      <c r="L68" s="253"/>
    </row>
    <row r="69" spans="1:12" s="240" customFormat="1" ht="23.25" customHeight="1">
      <c r="A69" s="380"/>
      <c r="B69" s="378"/>
      <c r="C69" s="375" t="s">
        <v>232</v>
      </c>
      <c r="D69" s="242" t="s">
        <v>233</v>
      </c>
      <c r="E69" s="253"/>
      <c r="F69" s="253"/>
      <c r="G69" s="253"/>
      <c r="H69" s="253">
        <f t="shared" si="1"/>
        <v>0</v>
      </c>
      <c r="I69" s="253">
        <f t="shared" si="2"/>
        <v>0</v>
      </c>
      <c r="J69" s="253"/>
      <c r="K69" s="253"/>
      <c r="L69" s="253"/>
    </row>
    <row r="70" spans="1:12" s="240" customFormat="1" ht="42.75">
      <c r="A70" s="380"/>
      <c r="B70" s="378"/>
      <c r="C70" s="375" t="s">
        <v>376</v>
      </c>
      <c r="D70" s="242" t="s">
        <v>377</v>
      </c>
      <c r="E70" s="253"/>
      <c r="F70" s="253"/>
      <c r="G70" s="253"/>
      <c r="H70" s="253">
        <f>+G70-F70</f>
        <v>0</v>
      </c>
      <c r="I70" s="253">
        <f>G70-E70</f>
        <v>0</v>
      </c>
      <c r="J70" s="253"/>
      <c r="K70" s="253"/>
      <c r="L70" s="253"/>
    </row>
    <row r="71" spans="1:12" s="240" customFormat="1" ht="21" customHeight="1">
      <c r="A71" s="380"/>
      <c r="B71" s="378"/>
      <c r="C71" s="375">
        <v>4729</v>
      </c>
      <c r="D71" s="244" t="s">
        <v>50</v>
      </c>
      <c r="E71" s="257">
        <v>22654</v>
      </c>
      <c r="F71" s="257">
        <v>30000</v>
      </c>
      <c r="G71" s="253">
        <v>30000</v>
      </c>
      <c r="H71" s="253">
        <f t="shared" si="1"/>
        <v>0</v>
      </c>
      <c r="I71" s="253">
        <f t="shared" si="2"/>
        <v>7346</v>
      </c>
      <c r="J71" s="257"/>
      <c r="K71" s="253">
        <v>30000</v>
      </c>
      <c r="L71" s="253">
        <v>30000</v>
      </c>
    </row>
    <row r="72" spans="1:12" s="240" customFormat="1" ht="22.5" customHeight="1">
      <c r="A72" s="380"/>
      <c r="B72" s="378"/>
      <c r="C72" s="375">
        <v>4822</v>
      </c>
      <c r="D72" s="244" t="s">
        <v>51</v>
      </c>
      <c r="E72" s="257"/>
      <c r="F72" s="257"/>
      <c r="G72" s="253"/>
      <c r="H72" s="253">
        <f t="shared" si="1"/>
        <v>0</v>
      </c>
      <c r="I72" s="253">
        <f t="shared" si="2"/>
        <v>0</v>
      </c>
      <c r="J72" s="257"/>
      <c r="K72" s="253"/>
      <c r="L72" s="253"/>
    </row>
    <row r="73" spans="1:12" s="240" customFormat="1" ht="19.5" customHeight="1">
      <c r="A73" s="380"/>
      <c r="B73" s="378"/>
      <c r="C73" s="376">
        <v>4823</v>
      </c>
      <c r="D73" s="325" t="s">
        <v>52</v>
      </c>
      <c r="E73" s="326">
        <f>E75+E76+E77</f>
        <v>200.7</v>
      </c>
      <c r="F73" s="326">
        <f>F75+F76+F77</f>
        <v>176.2</v>
      </c>
      <c r="G73" s="326">
        <f>G75+G76+G77</f>
        <v>293.8</v>
      </c>
      <c r="H73" s="326">
        <f t="shared" si="1"/>
        <v>117.60000000000002</v>
      </c>
      <c r="I73" s="326">
        <f t="shared" si="2"/>
        <v>93.10000000000002</v>
      </c>
      <c r="J73" s="326"/>
      <c r="K73" s="326">
        <f>K75+K76+K77</f>
        <v>293.8</v>
      </c>
      <c r="L73" s="326">
        <f>L75+L76+L77</f>
        <v>293.8</v>
      </c>
    </row>
    <row r="74" spans="1:12" s="240" customFormat="1" ht="14.25">
      <c r="A74" s="380"/>
      <c r="B74" s="378"/>
      <c r="C74" s="375"/>
      <c r="D74" s="243" t="s">
        <v>55</v>
      </c>
      <c r="E74" s="257"/>
      <c r="F74" s="257"/>
      <c r="G74" s="253"/>
      <c r="H74" s="253">
        <f t="shared" si="1"/>
        <v>0</v>
      </c>
      <c r="I74" s="253">
        <f t="shared" si="2"/>
        <v>0</v>
      </c>
      <c r="J74" s="257"/>
      <c r="K74" s="253"/>
      <c r="L74" s="253"/>
    </row>
    <row r="75" spans="1:12" s="238" customFormat="1" ht="27">
      <c r="A75" s="380"/>
      <c r="B75" s="378"/>
      <c r="C75" s="375"/>
      <c r="D75" s="243" t="s">
        <v>191</v>
      </c>
      <c r="E75" s="257">
        <v>33.7</v>
      </c>
      <c r="F75" s="257">
        <v>68.2</v>
      </c>
      <c r="G75" s="253">
        <v>68.2</v>
      </c>
      <c r="H75" s="253">
        <f aca="true" t="shared" si="3" ref="H75:H90">+G75-F75</f>
        <v>0</v>
      </c>
      <c r="I75" s="253">
        <f aca="true" t="shared" si="4" ref="I75:I82">G75-E75</f>
        <v>34.5</v>
      </c>
      <c r="J75" s="257"/>
      <c r="K75" s="253">
        <v>68.2</v>
      </c>
      <c r="L75" s="253">
        <v>68.2</v>
      </c>
    </row>
    <row r="76" spans="1:12" ht="27.75" customHeight="1">
      <c r="A76" s="380"/>
      <c r="B76" s="378"/>
      <c r="C76" s="375"/>
      <c r="D76" s="243" t="s">
        <v>189</v>
      </c>
      <c r="E76" s="257">
        <v>108</v>
      </c>
      <c r="F76" s="257">
        <v>108</v>
      </c>
      <c r="G76" s="253">
        <v>225.6</v>
      </c>
      <c r="H76" s="253">
        <f t="shared" si="3"/>
        <v>117.6</v>
      </c>
      <c r="I76" s="253">
        <f t="shared" si="4"/>
        <v>117.6</v>
      </c>
      <c r="J76" s="257" t="s">
        <v>973</v>
      </c>
      <c r="K76" s="253">
        <v>225.6</v>
      </c>
      <c r="L76" s="253">
        <v>225.6</v>
      </c>
    </row>
    <row r="77" spans="1:12" ht="14.25">
      <c r="A77" s="380"/>
      <c r="B77" s="378"/>
      <c r="C77" s="375"/>
      <c r="D77" s="243" t="s">
        <v>190</v>
      </c>
      <c r="E77" s="257">
        <v>59</v>
      </c>
      <c r="F77" s="257"/>
      <c r="G77" s="253"/>
      <c r="H77" s="253">
        <f t="shared" si="3"/>
        <v>0</v>
      </c>
      <c r="I77" s="253">
        <f t="shared" si="4"/>
        <v>-59</v>
      </c>
      <c r="J77" s="257"/>
      <c r="K77" s="253"/>
      <c r="L77" s="253"/>
    </row>
    <row r="78" spans="1:12" ht="31.5" customHeight="1">
      <c r="A78" s="380"/>
      <c r="B78" s="378"/>
      <c r="C78" s="375" t="s">
        <v>260</v>
      </c>
      <c r="D78" s="244" t="s">
        <v>272</v>
      </c>
      <c r="E78" s="257"/>
      <c r="F78" s="257"/>
      <c r="G78" s="253"/>
      <c r="H78" s="253">
        <f t="shared" si="3"/>
        <v>0</v>
      </c>
      <c r="I78" s="253">
        <f t="shared" si="4"/>
        <v>0</v>
      </c>
      <c r="J78" s="257"/>
      <c r="K78" s="253"/>
      <c r="L78" s="253"/>
    </row>
    <row r="79" spans="1:12" ht="31.5" customHeight="1">
      <c r="A79" s="380"/>
      <c r="B79" s="378"/>
      <c r="C79" s="375">
        <v>4831</v>
      </c>
      <c r="D79" s="242" t="s">
        <v>378</v>
      </c>
      <c r="E79" s="257"/>
      <c r="F79" s="257"/>
      <c r="G79" s="253"/>
      <c r="H79" s="253">
        <f>+G79-F79</f>
        <v>0</v>
      </c>
      <c r="I79" s="253">
        <f>G79-E79</f>
        <v>0</v>
      </c>
      <c r="J79" s="257"/>
      <c r="K79" s="253"/>
      <c r="L79" s="253"/>
    </row>
    <row r="80" spans="1:12" ht="43.5" customHeight="1">
      <c r="A80" s="380"/>
      <c r="B80" s="378"/>
      <c r="C80" s="375">
        <v>4851</v>
      </c>
      <c r="D80" s="242" t="s">
        <v>379</v>
      </c>
      <c r="E80" s="257"/>
      <c r="F80" s="257"/>
      <c r="G80" s="253"/>
      <c r="H80" s="253">
        <f>+G80-F80</f>
        <v>0</v>
      </c>
      <c r="I80" s="253">
        <f>G80-E80</f>
        <v>0</v>
      </c>
      <c r="J80" s="257"/>
      <c r="K80" s="253"/>
      <c r="L80" s="253"/>
    </row>
    <row r="81" spans="1:12" s="254" customFormat="1" ht="19.5" customHeight="1">
      <c r="A81" s="380"/>
      <c r="B81" s="378"/>
      <c r="C81" s="375">
        <v>4861</v>
      </c>
      <c r="D81" s="244" t="s">
        <v>53</v>
      </c>
      <c r="E81" s="257"/>
      <c r="F81" s="257"/>
      <c r="G81" s="253"/>
      <c r="H81" s="253">
        <f t="shared" si="3"/>
        <v>0</v>
      </c>
      <c r="I81" s="253">
        <f t="shared" si="4"/>
        <v>0</v>
      </c>
      <c r="J81" s="257"/>
      <c r="K81" s="253"/>
      <c r="L81" s="253"/>
    </row>
    <row r="82" spans="1:12" ht="19.5" customHeight="1">
      <c r="A82" s="381"/>
      <c r="B82" s="379"/>
      <c r="C82" s="375">
        <v>4891</v>
      </c>
      <c r="D82" s="244" t="s">
        <v>54</v>
      </c>
      <c r="E82" s="253"/>
      <c r="F82" s="253"/>
      <c r="G82" s="253"/>
      <c r="H82" s="253">
        <f t="shared" si="3"/>
        <v>0</v>
      </c>
      <c r="I82" s="253">
        <f t="shared" si="4"/>
        <v>0</v>
      </c>
      <c r="J82" s="253"/>
      <c r="K82" s="253"/>
      <c r="L82" s="253"/>
    </row>
    <row r="83" spans="4:12" ht="9.75" customHeight="1">
      <c r="D83" s="324"/>
      <c r="E83" s="360"/>
      <c r="F83" s="360"/>
      <c r="G83" s="360"/>
      <c r="H83" s="360"/>
      <c r="I83" s="360"/>
      <c r="J83" s="360"/>
      <c r="K83" s="360"/>
      <c r="L83" s="360"/>
    </row>
    <row r="84" spans="1:12" s="27" customFormat="1" ht="28.5">
      <c r="A84" s="595" t="s">
        <v>265</v>
      </c>
      <c r="B84" s="595"/>
      <c r="C84" s="255"/>
      <c r="D84" s="34" t="s">
        <v>56</v>
      </c>
      <c r="E84" s="26">
        <f>SUM(E86:E90)</f>
        <v>12754.4</v>
      </c>
      <c r="F84" s="26">
        <f>SUM(F86:F90)</f>
        <v>0</v>
      </c>
      <c r="G84" s="26">
        <f>SUM(G86:G90)</f>
        <v>0</v>
      </c>
      <c r="H84" s="26">
        <f>+G84-F84</f>
        <v>0</v>
      </c>
      <c r="I84" s="26">
        <f>G84-E84</f>
        <v>-12754.4</v>
      </c>
      <c r="J84" s="26"/>
      <c r="K84" s="26">
        <f>SUM(K86:K90)</f>
        <v>0</v>
      </c>
      <c r="L84" s="26">
        <f>SUM(L86:L90)</f>
        <v>0</v>
      </c>
    </row>
    <row r="85" spans="1:12" s="19" customFormat="1" ht="23.25" customHeight="1">
      <c r="A85" s="366" t="s">
        <v>266</v>
      </c>
      <c r="B85" s="366" t="s">
        <v>267</v>
      </c>
      <c r="C85" s="256"/>
      <c r="D85" s="16" t="s">
        <v>55</v>
      </c>
      <c r="E85" s="17"/>
      <c r="F85" s="17"/>
      <c r="G85" s="17"/>
      <c r="H85" s="17"/>
      <c r="I85" s="17"/>
      <c r="J85" s="17"/>
      <c r="K85" s="17"/>
      <c r="L85" s="17"/>
    </row>
    <row r="86" spans="1:12" s="33" customFormat="1" ht="15.75" customHeight="1">
      <c r="A86" s="382">
        <v>1051</v>
      </c>
      <c r="B86" s="382">
        <v>31001</v>
      </c>
      <c r="C86" s="230">
        <v>5121</v>
      </c>
      <c r="D86" s="20" t="s">
        <v>57</v>
      </c>
      <c r="E86" s="35"/>
      <c r="F86" s="35"/>
      <c r="G86" s="222"/>
      <c r="H86" s="222">
        <f t="shared" si="3"/>
        <v>0</v>
      </c>
      <c r="I86" s="222">
        <f>G86-E86</f>
        <v>0</v>
      </c>
      <c r="J86" s="35"/>
      <c r="K86" s="222"/>
      <c r="L86" s="222"/>
    </row>
    <row r="87" spans="1:12" s="33" customFormat="1" ht="15.75" customHeight="1">
      <c r="A87" s="380"/>
      <c r="B87" s="380"/>
      <c r="C87" s="230">
        <v>5122</v>
      </c>
      <c r="D87" s="20" t="s">
        <v>58</v>
      </c>
      <c r="E87" s="35">
        <v>12754.4</v>
      </c>
      <c r="F87" s="35"/>
      <c r="G87" s="222"/>
      <c r="H87" s="222">
        <f t="shared" si="3"/>
        <v>0</v>
      </c>
      <c r="I87" s="222">
        <f>G87-E87</f>
        <v>-12754.4</v>
      </c>
      <c r="J87" s="35"/>
      <c r="K87" s="222"/>
      <c r="L87" s="222"/>
    </row>
    <row r="88" spans="1:12" s="33" customFormat="1" ht="14.25">
      <c r="A88" s="380"/>
      <c r="B88" s="380"/>
      <c r="C88" s="230">
        <v>5129</v>
      </c>
      <c r="D88" s="20" t="s">
        <v>59</v>
      </c>
      <c r="E88" s="35"/>
      <c r="F88" s="35"/>
      <c r="G88" s="222"/>
      <c r="H88" s="222">
        <f t="shared" si="3"/>
        <v>0</v>
      </c>
      <c r="I88" s="222">
        <f>G88-E88</f>
        <v>0</v>
      </c>
      <c r="J88" s="35"/>
      <c r="K88" s="222"/>
      <c r="L88" s="222"/>
    </row>
    <row r="89" spans="1:12" s="33" customFormat="1" ht="14.25">
      <c r="A89" s="380"/>
      <c r="B89" s="380"/>
      <c r="C89" s="230">
        <v>5131</v>
      </c>
      <c r="D89" s="20" t="s">
        <v>340</v>
      </c>
      <c r="E89" s="35"/>
      <c r="F89" s="35"/>
      <c r="G89" s="222"/>
      <c r="H89" s="222">
        <f>+G89-F89</f>
        <v>0</v>
      </c>
      <c r="I89" s="222">
        <f>G89-E89</f>
        <v>0</v>
      </c>
      <c r="J89" s="35"/>
      <c r="K89" s="222"/>
      <c r="L89" s="222"/>
    </row>
    <row r="90" spans="1:12" s="33" customFormat="1" ht="15.75" customHeight="1">
      <c r="A90" s="381"/>
      <c r="B90" s="381"/>
      <c r="C90" s="230">
        <v>5132</v>
      </c>
      <c r="D90" s="20" t="s">
        <v>60</v>
      </c>
      <c r="E90" s="35"/>
      <c r="F90" s="35"/>
      <c r="G90" s="222"/>
      <c r="H90" s="222">
        <f t="shared" si="3"/>
        <v>0</v>
      </c>
      <c r="I90" s="222">
        <f>G90-E90</f>
        <v>0</v>
      </c>
      <c r="J90" s="35"/>
      <c r="K90" s="222"/>
      <c r="L90" s="222"/>
    </row>
  </sheetData>
  <sheetProtection/>
  <mergeCells count="11">
    <mergeCell ref="C7:D7"/>
    <mergeCell ref="A6:B6"/>
    <mergeCell ref="A2:H2"/>
    <mergeCell ref="A84:B84"/>
    <mergeCell ref="A7:B7"/>
    <mergeCell ref="D3:I3"/>
    <mergeCell ref="A10:A18"/>
    <mergeCell ref="B10:B12"/>
    <mergeCell ref="B13:B14"/>
    <mergeCell ref="B15:B16"/>
    <mergeCell ref="B17:B18"/>
  </mergeCells>
  <conditionalFormatting sqref="C8:D8">
    <cfRule type="cellIs" priority="7" dxfId="0" operator="equal" stopIfTrue="1">
      <formula>0</formula>
    </cfRule>
  </conditionalFormatting>
  <conditionalFormatting sqref="D14:D15">
    <cfRule type="cellIs" priority="3" dxfId="0" operator="equal" stopIfTrue="1">
      <formula>0</formula>
    </cfRule>
  </conditionalFormatting>
  <printOptions/>
  <pageMargins left="0.18" right="0.17" top="0.19" bottom="0.16" header="0.18" footer="0.16"/>
  <pageSetup horizontalDpi="600" verticalDpi="600" orientation="landscape" paperSize="9" scale="77" r:id="rId1"/>
  <headerFooter alignWithMargins="0">
    <oddFooter>&amp;R&amp;8&amp;P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168"/>
  <sheetViews>
    <sheetView view="pageBreakPreview" zoomScale="60" zoomScalePageLayoutView="0" workbookViewId="0" topLeftCell="A100">
      <selection activeCell="D156" sqref="D156"/>
    </sheetView>
  </sheetViews>
  <sheetFormatPr defaultColWidth="9.140625" defaultRowHeight="12.75"/>
  <cols>
    <col min="1" max="1" width="4.8515625" style="4" customWidth="1"/>
    <col min="2" max="2" width="49.421875" style="5" customWidth="1"/>
    <col min="3" max="3" width="11.57421875" style="5" customWidth="1"/>
    <col min="4" max="4" width="10.28125" style="5" customWidth="1"/>
    <col min="5" max="5" width="20.7109375" style="5" customWidth="1"/>
    <col min="6" max="6" width="8.140625" style="5" bestFit="1" customWidth="1"/>
    <col min="7" max="7" width="20.8515625" style="5" customWidth="1"/>
    <col min="8" max="8" width="8.140625" style="5" bestFit="1" customWidth="1"/>
    <col min="9" max="9" width="21.00390625" style="5" customWidth="1"/>
    <col min="10" max="10" width="13.57421875" style="5" customWidth="1"/>
    <col min="11" max="16384" width="9.140625" style="5" customWidth="1"/>
  </cols>
  <sheetData>
    <row r="1" spans="1:9" s="31" customFormat="1" ht="13.5">
      <c r="A1" s="260"/>
      <c r="B1" s="3"/>
      <c r="C1" s="3"/>
      <c r="D1" s="3"/>
      <c r="E1" s="107"/>
      <c r="F1" s="107"/>
      <c r="G1" s="30"/>
      <c r="H1" s="30"/>
      <c r="I1" s="120" t="s">
        <v>247</v>
      </c>
    </row>
    <row r="2" spans="1:9" s="31" customFormat="1" ht="12.75" customHeight="1">
      <c r="A2" s="260"/>
      <c r="B2" s="3"/>
      <c r="C2" s="3"/>
      <c r="D2" s="3"/>
      <c r="E2" s="107"/>
      <c r="F2" s="107"/>
      <c r="G2" s="613" t="s">
        <v>11</v>
      </c>
      <c r="H2" s="613"/>
      <c r="I2" s="613"/>
    </row>
    <row r="3" spans="1:6" s="31" customFormat="1" ht="14.25" thickBot="1">
      <c r="A3" s="30"/>
      <c r="B3" s="22" t="s">
        <v>385</v>
      </c>
      <c r="C3" s="201"/>
      <c r="D3" s="201"/>
      <c r="E3" s="201"/>
      <c r="F3" s="384"/>
    </row>
    <row r="4" spans="1:12" s="173" customFormat="1" ht="17.25" customHeight="1">
      <c r="A4" s="30"/>
      <c r="B4" s="342" t="s">
        <v>12</v>
      </c>
      <c r="E4" s="335"/>
      <c r="F4" s="384"/>
      <c r="G4" s="172"/>
      <c r="H4" s="172"/>
      <c r="I4" s="172"/>
      <c r="J4" s="172"/>
      <c r="K4" s="172"/>
      <c r="L4" s="172"/>
    </row>
    <row r="5" spans="1:9" s="31" customFormat="1" ht="54.75" customHeight="1">
      <c r="A5" s="343" t="s">
        <v>363</v>
      </c>
      <c r="B5" s="349"/>
      <c r="C5" s="336"/>
      <c r="D5" s="336"/>
      <c r="E5" s="336"/>
      <c r="F5" s="336"/>
      <c r="G5" s="336"/>
      <c r="H5" s="336"/>
      <c r="I5" s="121"/>
    </row>
    <row r="6" spans="1:8" s="31" customFormat="1" ht="14.25" thickBot="1">
      <c r="A6" s="30"/>
      <c r="G6" s="301" t="s">
        <v>220</v>
      </c>
      <c r="H6" s="311"/>
    </row>
    <row r="7" spans="1:9" s="87" customFormat="1" ht="46.5" customHeight="1" thickBot="1">
      <c r="A7" s="337"/>
      <c r="B7" s="338"/>
      <c r="C7" s="339"/>
      <c r="D7" s="615" t="s">
        <v>364</v>
      </c>
      <c r="E7" s="616"/>
      <c r="F7" s="615" t="s">
        <v>365</v>
      </c>
      <c r="G7" s="616"/>
      <c r="H7" s="617" t="s">
        <v>366</v>
      </c>
      <c r="I7" s="618"/>
    </row>
    <row r="8" spans="1:9" s="105" customFormat="1" ht="55.5" customHeight="1" thickBot="1">
      <c r="A8" s="340" t="s">
        <v>6</v>
      </c>
      <c r="B8" s="337" t="s">
        <v>238</v>
      </c>
      <c r="C8" s="341" t="s">
        <v>246</v>
      </c>
      <c r="D8" s="330" t="s">
        <v>153</v>
      </c>
      <c r="E8" s="322" t="s">
        <v>269</v>
      </c>
      <c r="F8" s="330" t="s">
        <v>153</v>
      </c>
      <c r="G8" s="330" t="s">
        <v>269</v>
      </c>
      <c r="H8" s="330" t="s">
        <v>153</v>
      </c>
      <c r="I8" s="385" t="s">
        <v>269</v>
      </c>
    </row>
    <row r="9" spans="1:9" s="106" customFormat="1" ht="13.5" thickBot="1">
      <c r="A9" s="203">
        <v>1</v>
      </c>
      <c r="B9" s="350">
        <v>2</v>
      </c>
      <c r="C9" s="202">
        <v>3</v>
      </c>
      <c r="D9" s="204">
        <v>4</v>
      </c>
      <c r="E9" s="204">
        <v>5</v>
      </c>
      <c r="F9" s="204">
        <v>6</v>
      </c>
      <c r="G9" s="204">
        <v>7</v>
      </c>
      <c r="H9" s="204">
        <v>8</v>
      </c>
      <c r="I9" s="204">
        <v>9</v>
      </c>
    </row>
    <row r="10" spans="1:9" s="205" customFormat="1" ht="22.5" customHeight="1">
      <c r="A10" s="331">
        <v>1</v>
      </c>
      <c r="B10" s="351" t="s">
        <v>23</v>
      </c>
      <c r="C10" s="332">
        <v>4212</v>
      </c>
      <c r="D10" s="332"/>
      <c r="E10" s="333">
        <f>SUM(E13:E15)</f>
        <v>7578.2</v>
      </c>
      <c r="F10" s="333"/>
      <c r="G10" s="333">
        <f>SUM(G13:G15)</f>
        <v>6332.26713816</v>
      </c>
      <c r="H10" s="333">
        <f>F10-D10</f>
        <v>0</v>
      </c>
      <c r="I10" s="333">
        <f>G10-E10</f>
        <v>-1245.9328618399995</v>
      </c>
    </row>
    <row r="11" spans="1:9" s="38" customFormat="1" ht="13.5">
      <c r="A11" s="77"/>
      <c r="B11" s="334" t="s">
        <v>110</v>
      </c>
      <c r="C11" s="77"/>
      <c r="D11" s="77"/>
      <c r="E11" s="79"/>
      <c r="F11" s="79"/>
      <c r="G11" s="104"/>
      <c r="H11" s="104"/>
      <c r="I11" s="104"/>
    </row>
    <row r="12" spans="1:9" s="38" customFormat="1" ht="13.5">
      <c r="A12" s="77"/>
      <c r="B12" s="352" t="s">
        <v>253</v>
      </c>
      <c r="C12" s="77"/>
      <c r="D12" s="77"/>
      <c r="E12" s="79"/>
      <c r="F12" s="79"/>
      <c r="G12" s="104"/>
      <c r="H12" s="104"/>
      <c r="I12" s="104"/>
    </row>
    <row r="13" spans="1:9" s="38" customFormat="1" ht="15">
      <c r="A13" s="77">
        <v>1</v>
      </c>
      <c r="B13" s="442" t="s">
        <v>387</v>
      </c>
      <c r="C13" s="77" t="s">
        <v>1</v>
      </c>
      <c r="D13" s="77">
        <v>1</v>
      </c>
      <c r="E13" s="79">
        <v>2747.3</v>
      </c>
      <c r="F13" s="79">
        <v>1</v>
      </c>
      <c r="G13" s="79">
        <f>'9-գազով ջեռուցում'!M15</f>
        <v>2223.23626728</v>
      </c>
      <c r="H13" s="79">
        <f aca="true" t="shared" si="0" ref="H13:I16">F13-D13</f>
        <v>0</v>
      </c>
      <c r="I13" s="79">
        <f t="shared" si="0"/>
        <v>-524.0637327200002</v>
      </c>
    </row>
    <row r="14" spans="1:9" s="38" customFormat="1" ht="15">
      <c r="A14" s="77">
        <v>2</v>
      </c>
      <c r="B14" s="442" t="s">
        <v>388</v>
      </c>
      <c r="C14" s="77" t="s">
        <v>1</v>
      </c>
      <c r="D14" s="77">
        <v>1</v>
      </c>
      <c r="E14" s="79">
        <v>4830.9</v>
      </c>
      <c r="F14" s="79">
        <v>1</v>
      </c>
      <c r="G14" s="79">
        <f>'7-էլ-էներգիա'!I23</f>
        <v>4109.03087088</v>
      </c>
      <c r="H14" s="79">
        <f t="shared" si="0"/>
        <v>0</v>
      </c>
      <c r="I14" s="79">
        <f t="shared" si="0"/>
        <v>-721.8691291199993</v>
      </c>
    </row>
    <row r="15" spans="1:9" s="38" customFormat="1" ht="13.5">
      <c r="A15" s="77">
        <v>3</v>
      </c>
      <c r="B15" s="353"/>
      <c r="C15" s="77" t="s">
        <v>1</v>
      </c>
      <c r="D15" s="77"/>
      <c r="E15" s="79"/>
      <c r="F15" s="79"/>
      <c r="G15" s="79"/>
      <c r="H15" s="79">
        <f t="shared" si="0"/>
        <v>0</v>
      </c>
      <c r="I15" s="79">
        <f t="shared" si="0"/>
        <v>0</v>
      </c>
    </row>
    <row r="16" spans="1:9" s="205" customFormat="1" ht="23.25" customHeight="1">
      <c r="A16" s="331">
        <v>2</v>
      </c>
      <c r="B16" s="351" t="s">
        <v>24</v>
      </c>
      <c r="C16" s="332">
        <v>4213</v>
      </c>
      <c r="D16" s="332"/>
      <c r="E16" s="333">
        <f>SUM(E19:E21)</f>
        <v>153.70000000000002</v>
      </c>
      <c r="F16" s="333"/>
      <c r="G16" s="333">
        <f>SUM(G19:G21)</f>
        <v>402.2</v>
      </c>
      <c r="H16" s="333">
        <f t="shared" si="0"/>
        <v>0</v>
      </c>
      <c r="I16" s="333">
        <f t="shared" si="0"/>
        <v>248.49999999999997</v>
      </c>
    </row>
    <row r="17" spans="1:9" s="38" customFormat="1" ht="13.5">
      <c r="A17" s="206"/>
      <c r="B17" s="334" t="s">
        <v>110</v>
      </c>
      <c r="C17" s="77"/>
      <c r="D17" s="77"/>
      <c r="E17" s="79"/>
      <c r="F17" s="79"/>
      <c r="G17" s="104"/>
      <c r="H17" s="104"/>
      <c r="I17" s="104"/>
    </row>
    <row r="18" spans="1:9" s="38" customFormat="1" ht="13.5">
      <c r="A18" s="348"/>
      <c r="B18" s="352" t="s">
        <v>253</v>
      </c>
      <c r="C18" s="77"/>
      <c r="D18" s="77"/>
      <c r="E18" s="79"/>
      <c r="F18" s="79"/>
      <c r="G18" s="104"/>
      <c r="H18" s="104"/>
      <c r="I18" s="104"/>
    </row>
    <row r="19" spans="1:9" s="38" customFormat="1" ht="15">
      <c r="A19" s="77">
        <v>1</v>
      </c>
      <c r="B19" s="442" t="s">
        <v>389</v>
      </c>
      <c r="C19" s="77" t="s">
        <v>1</v>
      </c>
      <c r="D19" s="77">
        <v>1</v>
      </c>
      <c r="E19" s="79">
        <v>129.4</v>
      </c>
      <c r="F19" s="79">
        <v>1</v>
      </c>
      <c r="G19" s="79">
        <v>377.9</v>
      </c>
      <c r="H19" s="79">
        <f aca="true" t="shared" si="1" ref="H19:I22">F19-D19</f>
        <v>0</v>
      </c>
      <c r="I19" s="79">
        <f t="shared" si="1"/>
        <v>248.49999999999997</v>
      </c>
    </row>
    <row r="20" spans="1:9" s="38" customFormat="1" ht="30">
      <c r="A20" s="77">
        <v>2</v>
      </c>
      <c r="B20" s="442" t="s">
        <v>390</v>
      </c>
      <c r="C20" s="77" t="s">
        <v>1</v>
      </c>
      <c r="D20" s="77">
        <v>1</v>
      </c>
      <c r="E20" s="79">
        <v>24.3</v>
      </c>
      <c r="F20" s="79">
        <v>1</v>
      </c>
      <c r="G20" s="79">
        <v>24.3</v>
      </c>
      <c r="H20" s="79">
        <f t="shared" si="1"/>
        <v>0</v>
      </c>
      <c r="I20" s="79">
        <f t="shared" si="1"/>
        <v>0</v>
      </c>
    </row>
    <row r="21" spans="1:9" s="38" customFormat="1" ht="13.5">
      <c r="A21" s="77">
        <v>3</v>
      </c>
      <c r="B21" s="353"/>
      <c r="C21" s="77" t="s">
        <v>1</v>
      </c>
      <c r="D21" s="77"/>
      <c r="E21" s="79"/>
      <c r="F21" s="79"/>
      <c r="G21" s="79"/>
      <c r="H21" s="79">
        <f t="shared" si="1"/>
        <v>0</v>
      </c>
      <c r="I21" s="79">
        <f t="shared" si="1"/>
        <v>0</v>
      </c>
    </row>
    <row r="22" spans="1:9" s="205" customFormat="1" ht="23.25" customHeight="1">
      <c r="A22" s="331">
        <v>3</v>
      </c>
      <c r="B22" s="351" t="s">
        <v>26</v>
      </c>
      <c r="C22" s="332">
        <v>4214</v>
      </c>
      <c r="D22" s="332"/>
      <c r="E22" s="333">
        <f>SUM(E25:E27)</f>
        <v>5102.1</v>
      </c>
      <c r="F22" s="333"/>
      <c r="G22" s="333">
        <f>SUM(G25:G27)</f>
        <v>5536.569792000001</v>
      </c>
      <c r="H22" s="333">
        <f t="shared" si="1"/>
        <v>0</v>
      </c>
      <c r="I22" s="333">
        <f t="shared" si="1"/>
        <v>434.4697920000008</v>
      </c>
    </row>
    <row r="23" spans="1:9" s="38" customFormat="1" ht="13.5">
      <c r="A23" s="206"/>
      <c r="B23" s="334" t="s">
        <v>110</v>
      </c>
      <c r="C23" s="77"/>
      <c r="D23" s="77"/>
      <c r="E23" s="79"/>
      <c r="F23" s="79"/>
      <c r="G23" s="104"/>
      <c r="H23" s="104"/>
      <c r="I23" s="104"/>
    </row>
    <row r="24" spans="1:9" s="38" customFormat="1" ht="13.5">
      <c r="A24" s="348"/>
      <c r="B24" s="352" t="s">
        <v>253</v>
      </c>
      <c r="C24" s="77"/>
      <c r="D24" s="77"/>
      <c r="E24" s="79"/>
      <c r="F24" s="79"/>
      <c r="G24" s="104"/>
      <c r="H24" s="104"/>
      <c r="I24" s="104"/>
    </row>
    <row r="25" spans="1:9" s="38" customFormat="1" ht="30">
      <c r="A25" s="77">
        <v>1</v>
      </c>
      <c r="B25" s="442" t="s">
        <v>391</v>
      </c>
      <c r="C25" s="77" t="s">
        <v>1</v>
      </c>
      <c r="D25" s="77">
        <v>1</v>
      </c>
      <c r="E25" s="79">
        <v>240</v>
      </c>
      <c r="F25" s="79">
        <v>1</v>
      </c>
      <c r="G25" s="79">
        <f>'4-ԿԱՊ'!P35/1000</f>
        <v>240</v>
      </c>
      <c r="H25" s="79">
        <f aca="true" t="shared" si="2" ref="H25:I28">F25-D25</f>
        <v>0</v>
      </c>
      <c r="I25" s="79">
        <f t="shared" si="2"/>
        <v>0</v>
      </c>
    </row>
    <row r="26" spans="1:9" s="38" customFormat="1" ht="30">
      <c r="A26" s="77">
        <v>2</v>
      </c>
      <c r="B26" s="442" t="s">
        <v>392</v>
      </c>
      <c r="C26" s="77" t="s">
        <v>1</v>
      </c>
      <c r="D26" s="77">
        <v>1</v>
      </c>
      <c r="E26" s="79">
        <v>576</v>
      </c>
      <c r="F26" s="79">
        <v>1</v>
      </c>
      <c r="G26" s="79">
        <f>'4-ԿԱՊ'!P34/1000</f>
        <v>576</v>
      </c>
      <c r="H26" s="79">
        <f t="shared" si="2"/>
        <v>0</v>
      </c>
      <c r="I26" s="79">
        <f t="shared" si="2"/>
        <v>0</v>
      </c>
    </row>
    <row r="27" spans="1:9" s="38" customFormat="1" ht="30">
      <c r="A27" s="77">
        <v>3</v>
      </c>
      <c r="B27" s="442" t="s">
        <v>393</v>
      </c>
      <c r="C27" s="77" t="s">
        <v>1</v>
      </c>
      <c r="D27" s="77">
        <v>1</v>
      </c>
      <c r="E27" s="79">
        <v>4286.1</v>
      </c>
      <c r="F27" s="79">
        <v>1</v>
      </c>
      <c r="G27" s="79">
        <f>'4-ԿԱՊ'!P31/1000</f>
        <v>4720.569792000001</v>
      </c>
      <c r="H27" s="79">
        <f t="shared" si="2"/>
        <v>0</v>
      </c>
      <c r="I27" s="79">
        <f t="shared" si="2"/>
        <v>434.4697920000008</v>
      </c>
    </row>
    <row r="28" spans="1:9" s="205" customFormat="1" ht="23.25" customHeight="1">
      <c r="A28" s="331" t="s">
        <v>200</v>
      </c>
      <c r="B28" s="351" t="s">
        <v>27</v>
      </c>
      <c r="C28" s="332">
        <v>4215</v>
      </c>
      <c r="D28" s="332"/>
      <c r="E28" s="333">
        <f>SUM(E31:E33)</f>
        <v>160</v>
      </c>
      <c r="F28" s="333"/>
      <c r="G28" s="333">
        <f>SUM(G31:G33)</f>
        <v>160</v>
      </c>
      <c r="H28" s="333">
        <f t="shared" si="2"/>
        <v>0</v>
      </c>
      <c r="I28" s="333">
        <f t="shared" si="2"/>
        <v>0</v>
      </c>
    </row>
    <row r="29" spans="1:9" s="38" customFormat="1" ht="13.5">
      <c r="A29" s="206"/>
      <c r="B29" s="334" t="s">
        <v>110</v>
      </c>
      <c r="C29" s="77"/>
      <c r="D29" s="77"/>
      <c r="E29" s="79"/>
      <c r="F29" s="79"/>
      <c r="G29" s="104"/>
      <c r="H29" s="104"/>
      <c r="I29" s="104"/>
    </row>
    <row r="30" spans="1:9" s="38" customFormat="1" ht="13.5">
      <c r="A30" s="348"/>
      <c r="B30" s="352" t="s">
        <v>253</v>
      </c>
      <c r="C30" s="77"/>
      <c r="D30" s="77"/>
      <c r="E30" s="79"/>
      <c r="F30" s="79"/>
      <c r="G30" s="104"/>
      <c r="H30" s="104"/>
      <c r="I30" s="104"/>
    </row>
    <row r="31" spans="1:9" s="38" customFormat="1" ht="30">
      <c r="A31" s="77">
        <v>1</v>
      </c>
      <c r="B31" s="442" t="s">
        <v>394</v>
      </c>
      <c r="C31" s="77" t="s">
        <v>1</v>
      </c>
      <c r="D31" s="77">
        <v>1</v>
      </c>
      <c r="E31" s="79">
        <v>160</v>
      </c>
      <c r="F31" s="79">
        <v>1</v>
      </c>
      <c r="G31" s="79">
        <v>160</v>
      </c>
      <c r="H31" s="79">
        <f aca="true" t="shared" si="3" ref="H31:I34">F31-D31</f>
        <v>0</v>
      </c>
      <c r="I31" s="79">
        <f t="shared" si="3"/>
        <v>0</v>
      </c>
    </row>
    <row r="32" spans="1:9" s="38" customFormat="1" ht="13.5">
      <c r="A32" s="77">
        <v>2</v>
      </c>
      <c r="B32" s="353"/>
      <c r="C32" s="77" t="s">
        <v>1</v>
      </c>
      <c r="D32" s="77"/>
      <c r="E32" s="79"/>
      <c r="F32" s="79"/>
      <c r="G32" s="79"/>
      <c r="H32" s="79">
        <f t="shared" si="3"/>
        <v>0</v>
      </c>
      <c r="I32" s="79">
        <f t="shared" si="3"/>
        <v>0</v>
      </c>
    </row>
    <row r="33" spans="1:9" s="38" customFormat="1" ht="13.5">
      <c r="A33" s="77">
        <v>3</v>
      </c>
      <c r="B33" s="353"/>
      <c r="C33" s="77" t="s">
        <v>1</v>
      </c>
      <c r="D33" s="77"/>
      <c r="E33" s="79"/>
      <c r="F33" s="79"/>
      <c r="G33" s="79"/>
      <c r="H33" s="79">
        <f t="shared" si="3"/>
        <v>0</v>
      </c>
      <c r="I33" s="79">
        <f t="shared" si="3"/>
        <v>0</v>
      </c>
    </row>
    <row r="34" spans="1:9" s="205" customFormat="1" ht="23.25" customHeight="1">
      <c r="A34" s="331" t="s">
        <v>200</v>
      </c>
      <c r="B34" s="351" t="s">
        <v>28</v>
      </c>
      <c r="C34" s="332">
        <v>4216</v>
      </c>
      <c r="D34" s="332"/>
      <c r="E34" s="333">
        <f>SUM(E37:E39)</f>
        <v>0</v>
      </c>
      <c r="F34" s="333"/>
      <c r="G34" s="333">
        <f>SUM(G37:G39)</f>
        <v>0</v>
      </c>
      <c r="H34" s="333">
        <f t="shared" si="3"/>
        <v>0</v>
      </c>
      <c r="I34" s="333">
        <f t="shared" si="3"/>
        <v>0</v>
      </c>
    </row>
    <row r="35" spans="1:9" s="38" customFormat="1" ht="13.5">
      <c r="A35" s="206"/>
      <c r="B35" s="334" t="s">
        <v>110</v>
      </c>
      <c r="C35" s="77"/>
      <c r="D35" s="77"/>
      <c r="E35" s="79"/>
      <c r="F35" s="79"/>
      <c r="G35" s="104"/>
      <c r="H35" s="104"/>
      <c r="I35" s="104"/>
    </row>
    <row r="36" spans="1:9" s="38" customFormat="1" ht="13.5">
      <c r="A36" s="348"/>
      <c r="B36" s="352" t="s">
        <v>253</v>
      </c>
      <c r="C36" s="77"/>
      <c r="D36" s="77"/>
      <c r="E36" s="79"/>
      <c r="F36" s="79"/>
      <c r="G36" s="104"/>
      <c r="H36" s="104"/>
      <c r="I36" s="104"/>
    </row>
    <row r="37" spans="1:9" s="38" customFormat="1" ht="13.5">
      <c r="A37" s="77">
        <v>1</v>
      </c>
      <c r="B37" s="352"/>
      <c r="C37" s="77" t="s">
        <v>1</v>
      </c>
      <c r="D37" s="77"/>
      <c r="E37" s="79"/>
      <c r="F37" s="79"/>
      <c r="G37" s="79"/>
      <c r="H37" s="79">
        <f aca="true" t="shared" si="4" ref="H37:I40">F37-D37</f>
        <v>0</v>
      </c>
      <c r="I37" s="79">
        <f t="shared" si="4"/>
        <v>0</v>
      </c>
    </row>
    <row r="38" spans="1:9" s="38" customFormat="1" ht="13.5">
      <c r="A38" s="77">
        <v>2</v>
      </c>
      <c r="B38" s="353"/>
      <c r="C38" s="77" t="s">
        <v>1</v>
      </c>
      <c r="D38" s="77"/>
      <c r="E38" s="79"/>
      <c r="F38" s="79"/>
      <c r="G38" s="79"/>
      <c r="H38" s="79">
        <f t="shared" si="4"/>
        <v>0</v>
      </c>
      <c r="I38" s="79">
        <f t="shared" si="4"/>
        <v>0</v>
      </c>
    </row>
    <row r="39" spans="1:9" s="38" customFormat="1" ht="13.5">
      <c r="A39" s="77">
        <v>3</v>
      </c>
      <c r="B39" s="353"/>
      <c r="C39" s="77" t="s">
        <v>1</v>
      </c>
      <c r="D39" s="77"/>
      <c r="E39" s="79"/>
      <c r="F39" s="79"/>
      <c r="G39" s="79"/>
      <c r="H39" s="79">
        <f t="shared" si="4"/>
        <v>0</v>
      </c>
      <c r="I39" s="79">
        <f t="shared" si="4"/>
        <v>0</v>
      </c>
    </row>
    <row r="40" spans="1:9" s="205" customFormat="1" ht="23.25" customHeight="1">
      <c r="A40" s="331" t="s">
        <v>200</v>
      </c>
      <c r="B40" s="351" t="s">
        <v>29</v>
      </c>
      <c r="C40" s="332">
        <v>4217</v>
      </c>
      <c r="D40" s="332"/>
      <c r="E40" s="333">
        <f>SUM(E43:E45)</f>
        <v>0</v>
      </c>
      <c r="F40" s="333"/>
      <c r="G40" s="333">
        <f>SUM(G43:G45)</f>
        <v>0</v>
      </c>
      <c r="H40" s="333">
        <f t="shared" si="4"/>
        <v>0</v>
      </c>
      <c r="I40" s="333">
        <f t="shared" si="4"/>
        <v>0</v>
      </c>
    </row>
    <row r="41" spans="1:9" s="38" customFormat="1" ht="13.5">
      <c r="A41" s="206"/>
      <c r="B41" s="334" t="s">
        <v>110</v>
      </c>
      <c r="C41" s="77"/>
      <c r="D41" s="77"/>
      <c r="E41" s="79"/>
      <c r="F41" s="79"/>
      <c r="G41" s="104"/>
      <c r="H41" s="104"/>
      <c r="I41" s="104"/>
    </row>
    <row r="42" spans="1:9" s="38" customFormat="1" ht="13.5">
      <c r="A42" s="348"/>
      <c r="B42" s="352" t="s">
        <v>253</v>
      </c>
      <c r="C42" s="77"/>
      <c r="D42" s="77"/>
      <c r="E42" s="79"/>
      <c r="F42" s="79"/>
      <c r="G42" s="104"/>
      <c r="H42" s="104"/>
      <c r="I42" s="104"/>
    </row>
    <row r="43" spans="1:9" s="38" customFormat="1" ht="13.5">
      <c r="A43" s="77">
        <v>1</v>
      </c>
      <c r="B43" s="352"/>
      <c r="C43" s="77" t="s">
        <v>1</v>
      </c>
      <c r="D43" s="77"/>
      <c r="E43" s="79"/>
      <c r="F43" s="79"/>
      <c r="G43" s="79"/>
      <c r="H43" s="79">
        <f aca="true" t="shared" si="5" ref="H43:I46">F43-D43</f>
        <v>0</v>
      </c>
      <c r="I43" s="79">
        <f t="shared" si="5"/>
        <v>0</v>
      </c>
    </row>
    <row r="44" spans="1:9" s="38" customFormat="1" ht="13.5">
      <c r="A44" s="77">
        <v>2</v>
      </c>
      <c r="B44" s="353"/>
      <c r="C44" s="77" t="s">
        <v>1</v>
      </c>
      <c r="D44" s="77"/>
      <c r="E44" s="79"/>
      <c r="F44" s="79"/>
      <c r="G44" s="79"/>
      <c r="H44" s="79">
        <f t="shared" si="5"/>
        <v>0</v>
      </c>
      <c r="I44" s="79">
        <f t="shared" si="5"/>
        <v>0</v>
      </c>
    </row>
    <row r="45" spans="1:9" s="38" customFormat="1" ht="13.5">
      <c r="A45" s="77">
        <v>3</v>
      </c>
      <c r="B45" s="353"/>
      <c r="C45" s="77" t="s">
        <v>1</v>
      </c>
      <c r="D45" s="77"/>
      <c r="E45" s="79"/>
      <c r="F45" s="79"/>
      <c r="G45" s="79"/>
      <c r="H45" s="79">
        <f t="shared" si="5"/>
        <v>0</v>
      </c>
      <c r="I45" s="79">
        <f t="shared" si="5"/>
        <v>0</v>
      </c>
    </row>
    <row r="46" spans="1:9" s="205" customFormat="1" ht="23.25" customHeight="1">
      <c r="A46" s="331" t="s">
        <v>200</v>
      </c>
      <c r="B46" s="351" t="s">
        <v>32</v>
      </c>
      <c r="C46" s="332">
        <v>4231</v>
      </c>
      <c r="D46" s="332"/>
      <c r="E46" s="333">
        <f>SUM(E49:E51)</f>
        <v>0</v>
      </c>
      <c r="F46" s="333"/>
      <c r="G46" s="333">
        <f>SUM(G49:G51)</f>
        <v>0</v>
      </c>
      <c r="H46" s="333">
        <f t="shared" si="5"/>
        <v>0</v>
      </c>
      <c r="I46" s="333">
        <f t="shared" si="5"/>
        <v>0</v>
      </c>
    </row>
    <row r="47" spans="1:9" s="38" customFormat="1" ht="13.5">
      <c r="A47" s="206"/>
      <c r="B47" s="334" t="s">
        <v>110</v>
      </c>
      <c r="C47" s="77"/>
      <c r="D47" s="77"/>
      <c r="E47" s="79"/>
      <c r="F47" s="79"/>
      <c r="G47" s="104"/>
      <c r="H47" s="104"/>
      <c r="I47" s="104"/>
    </row>
    <row r="48" spans="1:9" s="38" customFormat="1" ht="13.5">
      <c r="A48" s="348"/>
      <c r="B48" s="352" t="s">
        <v>253</v>
      </c>
      <c r="C48" s="77"/>
      <c r="D48" s="77"/>
      <c r="E48" s="79"/>
      <c r="F48" s="79"/>
      <c r="G48" s="104"/>
      <c r="H48" s="104"/>
      <c r="I48" s="104"/>
    </row>
    <row r="49" spans="1:9" s="38" customFormat="1" ht="13.5">
      <c r="A49" s="77">
        <v>1</v>
      </c>
      <c r="B49" s="352"/>
      <c r="C49" s="77" t="s">
        <v>1</v>
      </c>
      <c r="D49" s="77"/>
      <c r="E49" s="79"/>
      <c r="F49" s="79"/>
      <c r="G49" s="79"/>
      <c r="H49" s="79">
        <f aca="true" t="shared" si="6" ref="H49:I52">F49-D49</f>
        <v>0</v>
      </c>
      <c r="I49" s="79">
        <f t="shared" si="6"/>
        <v>0</v>
      </c>
    </row>
    <row r="50" spans="1:9" s="38" customFormat="1" ht="13.5">
      <c r="A50" s="77">
        <v>2</v>
      </c>
      <c r="B50" s="353"/>
      <c r="C50" s="77" t="s">
        <v>1</v>
      </c>
      <c r="D50" s="77"/>
      <c r="E50" s="79"/>
      <c r="F50" s="79"/>
      <c r="G50" s="79"/>
      <c r="H50" s="79">
        <f t="shared" si="6"/>
        <v>0</v>
      </c>
      <c r="I50" s="79">
        <f t="shared" si="6"/>
        <v>0</v>
      </c>
    </row>
    <row r="51" spans="1:9" s="38" customFormat="1" ht="13.5">
      <c r="A51" s="77">
        <v>3</v>
      </c>
      <c r="B51" s="353"/>
      <c r="C51" s="77" t="s">
        <v>1</v>
      </c>
      <c r="D51" s="77"/>
      <c r="E51" s="79"/>
      <c r="F51" s="79"/>
      <c r="G51" s="79"/>
      <c r="H51" s="79">
        <f t="shared" si="6"/>
        <v>0</v>
      </c>
      <c r="I51" s="79">
        <f t="shared" si="6"/>
        <v>0</v>
      </c>
    </row>
    <row r="52" spans="1:9" s="205" customFormat="1" ht="23.25" customHeight="1">
      <c r="A52" s="331" t="s">
        <v>200</v>
      </c>
      <c r="B52" s="351" t="s">
        <v>33</v>
      </c>
      <c r="C52" s="332">
        <v>4232</v>
      </c>
      <c r="D52" s="332"/>
      <c r="E52" s="333">
        <f>SUM(E55:E62)</f>
        <v>5474</v>
      </c>
      <c r="F52" s="333"/>
      <c r="G52" s="333">
        <f>SUM(G55:G62)</f>
        <v>5474</v>
      </c>
      <c r="H52" s="333">
        <f t="shared" si="6"/>
        <v>0</v>
      </c>
      <c r="I52" s="333">
        <f t="shared" si="6"/>
        <v>0</v>
      </c>
    </row>
    <row r="53" spans="1:9" s="38" customFormat="1" ht="13.5">
      <c r="A53" s="206"/>
      <c r="B53" s="334" t="s">
        <v>110</v>
      </c>
      <c r="C53" s="77"/>
      <c r="D53" s="77"/>
      <c r="E53" s="79"/>
      <c r="F53" s="79"/>
      <c r="G53" s="104"/>
      <c r="H53" s="104"/>
      <c r="I53" s="104"/>
    </row>
    <row r="54" spans="1:9" s="38" customFormat="1" ht="13.5">
      <c r="A54" s="348"/>
      <c r="B54" s="352" t="s">
        <v>253</v>
      </c>
      <c r="C54" s="77"/>
      <c r="D54" s="77"/>
      <c r="E54" s="79"/>
      <c r="F54" s="79"/>
      <c r="G54" s="104"/>
      <c r="H54" s="104"/>
      <c r="I54" s="104"/>
    </row>
    <row r="55" spans="1:9" s="38" customFormat="1" ht="42.75">
      <c r="A55" s="348">
        <v>1</v>
      </c>
      <c r="B55" s="579" t="s">
        <v>943</v>
      </c>
      <c r="C55" s="563" t="s">
        <v>1</v>
      </c>
      <c r="D55" s="563">
        <v>1</v>
      </c>
      <c r="E55" s="79">
        <v>80</v>
      </c>
      <c r="F55" s="77">
        <v>1</v>
      </c>
      <c r="G55" s="79">
        <v>80</v>
      </c>
      <c r="H55" s="79">
        <f aca="true" t="shared" si="7" ref="H55:I62">F55-D55</f>
        <v>0</v>
      </c>
      <c r="I55" s="79">
        <f t="shared" si="7"/>
        <v>0</v>
      </c>
    </row>
    <row r="56" spans="1:9" s="38" customFormat="1" ht="28.5">
      <c r="A56" s="348">
        <v>2</v>
      </c>
      <c r="B56" s="580" t="s">
        <v>944</v>
      </c>
      <c r="C56" s="563" t="s">
        <v>1</v>
      </c>
      <c r="D56" s="563">
        <v>1</v>
      </c>
      <c r="E56" s="79">
        <v>72</v>
      </c>
      <c r="F56" s="77">
        <v>1</v>
      </c>
      <c r="G56" s="79">
        <v>72</v>
      </c>
      <c r="H56" s="79">
        <f t="shared" si="7"/>
        <v>0</v>
      </c>
      <c r="I56" s="79">
        <f t="shared" si="7"/>
        <v>0</v>
      </c>
    </row>
    <row r="57" spans="1:9" s="38" customFormat="1" ht="28.5">
      <c r="A57" s="348">
        <v>3</v>
      </c>
      <c r="B57" s="580" t="s">
        <v>945</v>
      </c>
      <c r="C57" s="563" t="s">
        <v>1</v>
      </c>
      <c r="D57" s="564">
        <v>1</v>
      </c>
      <c r="E57" s="79">
        <v>600</v>
      </c>
      <c r="F57" s="79">
        <v>1</v>
      </c>
      <c r="G57" s="79">
        <v>600</v>
      </c>
      <c r="H57" s="79">
        <f t="shared" si="7"/>
        <v>0</v>
      </c>
      <c r="I57" s="79">
        <f t="shared" si="7"/>
        <v>0</v>
      </c>
    </row>
    <row r="58" spans="1:9" s="38" customFormat="1" ht="28.5">
      <c r="A58" s="348">
        <v>4</v>
      </c>
      <c r="B58" s="566" t="s">
        <v>946</v>
      </c>
      <c r="C58" s="563" t="s">
        <v>1</v>
      </c>
      <c r="D58" s="564">
        <v>1</v>
      </c>
      <c r="E58" s="79">
        <v>600</v>
      </c>
      <c r="F58" s="79">
        <v>1</v>
      </c>
      <c r="G58" s="79">
        <v>600</v>
      </c>
      <c r="H58" s="79">
        <f t="shared" si="7"/>
        <v>0</v>
      </c>
      <c r="I58" s="79">
        <f t="shared" si="7"/>
        <v>0</v>
      </c>
    </row>
    <row r="59" spans="1:9" s="38" customFormat="1" ht="28.5">
      <c r="A59" s="77">
        <v>5</v>
      </c>
      <c r="B59" s="580" t="s">
        <v>947</v>
      </c>
      <c r="C59" s="563" t="s">
        <v>1</v>
      </c>
      <c r="D59" s="564">
        <v>1</v>
      </c>
      <c r="E59" s="79">
        <v>200</v>
      </c>
      <c r="F59" s="79">
        <v>1</v>
      </c>
      <c r="G59" s="79">
        <v>200</v>
      </c>
      <c r="H59" s="79">
        <f t="shared" si="7"/>
        <v>0</v>
      </c>
      <c r="I59" s="79">
        <f t="shared" si="7"/>
        <v>0</v>
      </c>
    </row>
    <row r="60" spans="1:9" s="38" customFormat="1" ht="28.5">
      <c r="A60" s="77">
        <v>6</v>
      </c>
      <c r="B60" s="580" t="s">
        <v>948</v>
      </c>
      <c r="C60" s="563" t="s">
        <v>1</v>
      </c>
      <c r="D60" s="564">
        <v>1</v>
      </c>
      <c r="E60" s="79">
        <v>1152</v>
      </c>
      <c r="F60" s="79">
        <v>1</v>
      </c>
      <c r="G60" s="79">
        <v>1152</v>
      </c>
      <c r="H60" s="79">
        <f t="shared" si="7"/>
        <v>0</v>
      </c>
      <c r="I60" s="79">
        <f t="shared" si="7"/>
        <v>0</v>
      </c>
    </row>
    <row r="61" spans="1:9" s="38" customFormat="1" ht="28.5">
      <c r="A61" s="77">
        <v>7</v>
      </c>
      <c r="B61" s="580" t="s">
        <v>949</v>
      </c>
      <c r="C61" s="563" t="s">
        <v>1</v>
      </c>
      <c r="D61" s="564">
        <v>1</v>
      </c>
      <c r="E61" s="79">
        <v>170</v>
      </c>
      <c r="F61" s="79">
        <v>1</v>
      </c>
      <c r="G61" s="79">
        <v>170</v>
      </c>
      <c r="H61" s="79">
        <f t="shared" si="7"/>
        <v>0</v>
      </c>
      <c r="I61" s="79">
        <f t="shared" si="7"/>
        <v>0</v>
      </c>
    </row>
    <row r="62" spans="1:9" s="38" customFormat="1" ht="28.5">
      <c r="A62" s="77">
        <v>8</v>
      </c>
      <c r="B62" s="580" t="s">
        <v>950</v>
      </c>
      <c r="C62" s="563" t="s">
        <v>1</v>
      </c>
      <c r="D62" s="564">
        <v>1</v>
      </c>
      <c r="E62" s="79">
        <v>2600</v>
      </c>
      <c r="F62" s="79">
        <v>1</v>
      </c>
      <c r="G62" s="79">
        <v>2600</v>
      </c>
      <c r="H62" s="79">
        <f t="shared" si="7"/>
        <v>0</v>
      </c>
      <c r="I62" s="79">
        <f t="shared" si="7"/>
        <v>0</v>
      </c>
    </row>
    <row r="63" spans="1:9" s="38" customFormat="1" ht="14.25">
      <c r="A63" s="331" t="s">
        <v>200</v>
      </c>
      <c r="B63" s="351" t="s">
        <v>34</v>
      </c>
      <c r="C63" s="332">
        <v>4234</v>
      </c>
      <c r="D63" s="332"/>
      <c r="E63" s="333">
        <f>SUM(E66:E68)</f>
        <v>200</v>
      </c>
      <c r="F63" s="333"/>
      <c r="G63" s="333">
        <f>SUM(G66:G68)</f>
        <v>200</v>
      </c>
      <c r="H63" s="333">
        <f>F63-D63</f>
        <v>0</v>
      </c>
      <c r="I63" s="333">
        <f>G63-E63</f>
        <v>0</v>
      </c>
    </row>
    <row r="64" spans="1:9" s="38" customFormat="1" ht="13.5">
      <c r="A64" s="206"/>
      <c r="B64" s="334" t="s">
        <v>110</v>
      </c>
      <c r="C64" s="77"/>
      <c r="D64" s="77"/>
      <c r="E64" s="79"/>
      <c r="F64" s="79"/>
      <c r="G64" s="104"/>
      <c r="H64" s="104"/>
      <c r="I64" s="104"/>
    </row>
    <row r="65" spans="1:9" s="38" customFormat="1" ht="13.5">
      <c r="A65" s="348"/>
      <c r="B65" s="352" t="s">
        <v>253</v>
      </c>
      <c r="C65" s="77"/>
      <c r="D65" s="77"/>
      <c r="E65" s="79"/>
      <c r="F65" s="79"/>
      <c r="G65" s="104"/>
      <c r="H65" s="104"/>
      <c r="I65" s="104"/>
    </row>
    <row r="66" spans="1:9" s="38" customFormat="1" ht="28.5">
      <c r="A66" s="77">
        <v>1</v>
      </c>
      <c r="B66" s="579" t="s">
        <v>951</v>
      </c>
      <c r="C66" s="77" t="s">
        <v>1</v>
      </c>
      <c r="D66" s="77"/>
      <c r="E66" s="79">
        <v>200</v>
      </c>
      <c r="F66" s="79"/>
      <c r="G66" s="79">
        <v>200</v>
      </c>
      <c r="H66" s="79">
        <f aca="true" t="shared" si="8" ref="H66:I69">F66-D66</f>
        <v>0</v>
      </c>
      <c r="I66" s="79">
        <f t="shared" si="8"/>
        <v>0</v>
      </c>
    </row>
    <row r="67" spans="1:9" s="38" customFormat="1" ht="13.5">
      <c r="A67" s="77">
        <v>2</v>
      </c>
      <c r="B67" s="353"/>
      <c r="C67" s="77" t="s">
        <v>1</v>
      </c>
      <c r="D67" s="77"/>
      <c r="E67" s="79"/>
      <c r="F67" s="79"/>
      <c r="G67" s="79"/>
      <c r="H67" s="79">
        <f t="shared" si="8"/>
        <v>0</v>
      </c>
      <c r="I67" s="79">
        <f t="shared" si="8"/>
        <v>0</v>
      </c>
    </row>
    <row r="68" spans="1:9" s="38" customFormat="1" ht="13.5">
      <c r="A68" s="77">
        <v>3</v>
      </c>
      <c r="B68" s="353"/>
      <c r="C68" s="77" t="s">
        <v>1</v>
      </c>
      <c r="D68" s="77"/>
      <c r="E68" s="79"/>
      <c r="F68" s="79"/>
      <c r="G68" s="79"/>
      <c r="H68" s="79">
        <f t="shared" si="8"/>
        <v>0</v>
      </c>
      <c r="I68" s="79">
        <f t="shared" si="8"/>
        <v>0</v>
      </c>
    </row>
    <row r="69" spans="1:9" s="38" customFormat="1" ht="14.25">
      <c r="A69" s="331" t="s">
        <v>200</v>
      </c>
      <c r="B69" s="351" t="s">
        <v>399</v>
      </c>
      <c r="C69" s="332">
        <v>4235</v>
      </c>
      <c r="D69" s="332"/>
      <c r="E69" s="333">
        <f>SUM(E72:E74)</f>
        <v>8280</v>
      </c>
      <c r="F69" s="333"/>
      <c r="G69" s="333">
        <f>SUM(G72:G74)</f>
        <v>8280</v>
      </c>
      <c r="H69" s="333">
        <f t="shared" si="8"/>
        <v>0</v>
      </c>
      <c r="I69" s="333">
        <f t="shared" si="8"/>
        <v>0</v>
      </c>
    </row>
    <row r="70" spans="1:9" s="38" customFormat="1" ht="13.5">
      <c r="A70" s="206"/>
      <c r="B70" s="334" t="s">
        <v>110</v>
      </c>
      <c r="C70" s="77"/>
      <c r="D70" s="77"/>
      <c r="E70" s="79"/>
      <c r="F70" s="79"/>
      <c r="G70" s="104"/>
      <c r="H70" s="104"/>
      <c r="I70" s="104"/>
    </row>
    <row r="71" spans="1:9" s="38" customFormat="1" ht="13.5">
      <c r="A71" s="348"/>
      <c r="B71" s="352" t="s">
        <v>253</v>
      </c>
      <c r="C71" s="77"/>
      <c r="D71" s="77"/>
      <c r="E71" s="79"/>
      <c r="F71" s="79"/>
      <c r="G71" s="104"/>
      <c r="H71" s="104"/>
      <c r="I71" s="104"/>
    </row>
    <row r="72" spans="1:9" s="38" customFormat="1" ht="13.5">
      <c r="A72" s="77">
        <v>1</v>
      </c>
      <c r="B72" s="243" t="s">
        <v>35</v>
      </c>
      <c r="C72" s="77" t="s">
        <v>1</v>
      </c>
      <c r="D72" s="77">
        <v>1</v>
      </c>
      <c r="E72" s="79">
        <v>8280</v>
      </c>
      <c r="F72" s="79">
        <v>1</v>
      </c>
      <c r="G72" s="79">
        <v>8280</v>
      </c>
      <c r="H72" s="79">
        <f aca="true" t="shared" si="9" ref="H72:I75">F72-D72</f>
        <v>0</v>
      </c>
      <c r="I72" s="79">
        <f t="shared" si="9"/>
        <v>0</v>
      </c>
    </row>
    <row r="73" spans="1:9" s="38" customFormat="1" ht="13.5">
      <c r="A73" s="77">
        <v>2</v>
      </c>
      <c r="B73" s="353"/>
      <c r="C73" s="77" t="s">
        <v>1</v>
      </c>
      <c r="D73" s="77"/>
      <c r="E73" s="79"/>
      <c r="F73" s="79"/>
      <c r="G73" s="79"/>
      <c r="H73" s="79">
        <f t="shared" si="9"/>
        <v>0</v>
      </c>
      <c r="I73" s="79">
        <f t="shared" si="9"/>
        <v>0</v>
      </c>
    </row>
    <row r="74" spans="1:9" s="38" customFormat="1" ht="13.5">
      <c r="A74" s="77">
        <v>3</v>
      </c>
      <c r="B74" s="353"/>
      <c r="C74" s="77" t="s">
        <v>1</v>
      </c>
      <c r="D74" s="77"/>
      <c r="E74" s="79"/>
      <c r="F74" s="79"/>
      <c r="G74" s="79"/>
      <c r="H74" s="79">
        <f t="shared" si="9"/>
        <v>0</v>
      </c>
      <c r="I74" s="79">
        <f t="shared" si="9"/>
        <v>0</v>
      </c>
    </row>
    <row r="75" spans="1:9" s="38" customFormat="1" ht="14.25">
      <c r="A75" s="331" t="s">
        <v>200</v>
      </c>
      <c r="B75" s="351" t="s">
        <v>395</v>
      </c>
      <c r="C75" s="332">
        <v>4237</v>
      </c>
      <c r="D75" s="332"/>
      <c r="E75" s="333">
        <f>SUM(E78:E80)</f>
        <v>300</v>
      </c>
      <c r="F75" s="333"/>
      <c r="G75" s="333">
        <f>SUM(G78:G80)</f>
        <v>300</v>
      </c>
      <c r="H75" s="333">
        <f t="shared" si="9"/>
        <v>0</v>
      </c>
      <c r="I75" s="333">
        <f t="shared" si="9"/>
        <v>0</v>
      </c>
    </row>
    <row r="76" spans="1:9" s="38" customFormat="1" ht="13.5">
      <c r="A76" s="206"/>
      <c r="B76" s="334" t="s">
        <v>110</v>
      </c>
      <c r="C76" s="77"/>
      <c r="D76" s="77"/>
      <c r="E76" s="79"/>
      <c r="F76" s="79"/>
      <c r="G76" s="104"/>
      <c r="H76" s="104"/>
      <c r="I76" s="104"/>
    </row>
    <row r="77" spans="1:9" s="38" customFormat="1" ht="13.5">
      <c r="A77" s="348"/>
      <c r="B77" s="352" t="s">
        <v>253</v>
      </c>
      <c r="C77" s="77"/>
      <c r="D77" s="77"/>
      <c r="E77" s="79"/>
      <c r="F77" s="79"/>
      <c r="G77" s="104"/>
      <c r="H77" s="104"/>
      <c r="I77" s="104"/>
    </row>
    <row r="78" spans="1:9" s="38" customFormat="1" ht="13.5">
      <c r="A78" s="77">
        <v>1</v>
      </c>
      <c r="B78" s="243" t="s">
        <v>37</v>
      </c>
      <c r="C78" s="77" t="s">
        <v>1</v>
      </c>
      <c r="D78" s="77">
        <v>1</v>
      </c>
      <c r="E78" s="79">
        <v>300</v>
      </c>
      <c r="F78" s="79">
        <v>1</v>
      </c>
      <c r="G78" s="79">
        <v>300</v>
      </c>
      <c r="H78" s="79">
        <f aca="true" t="shared" si="10" ref="H78:I81">F78-D78</f>
        <v>0</v>
      </c>
      <c r="I78" s="79">
        <f t="shared" si="10"/>
        <v>0</v>
      </c>
    </row>
    <row r="79" spans="1:9" s="38" customFormat="1" ht="13.5">
      <c r="A79" s="77">
        <v>2</v>
      </c>
      <c r="B79" s="353"/>
      <c r="C79" s="77" t="s">
        <v>1</v>
      </c>
      <c r="D79" s="77"/>
      <c r="E79" s="79"/>
      <c r="F79" s="79"/>
      <c r="G79" s="79"/>
      <c r="H79" s="79">
        <f t="shared" si="10"/>
        <v>0</v>
      </c>
      <c r="I79" s="79">
        <f t="shared" si="10"/>
        <v>0</v>
      </c>
    </row>
    <row r="80" spans="1:9" s="38" customFormat="1" ht="13.5">
      <c r="A80" s="77">
        <v>3</v>
      </c>
      <c r="B80" s="353"/>
      <c r="C80" s="77" t="s">
        <v>1</v>
      </c>
      <c r="D80" s="77"/>
      <c r="E80" s="79"/>
      <c r="F80" s="79"/>
      <c r="G80" s="79"/>
      <c r="H80" s="79">
        <f t="shared" si="10"/>
        <v>0</v>
      </c>
      <c r="I80" s="79">
        <f t="shared" si="10"/>
        <v>0</v>
      </c>
    </row>
    <row r="81" spans="1:9" s="38" customFormat="1" ht="14.25">
      <c r="A81" s="331" t="s">
        <v>200</v>
      </c>
      <c r="B81" s="351" t="s">
        <v>397</v>
      </c>
      <c r="C81" s="332">
        <v>4239</v>
      </c>
      <c r="D81" s="332"/>
      <c r="E81" s="333">
        <f>SUM(E84:E86)</f>
        <v>100</v>
      </c>
      <c r="F81" s="333"/>
      <c r="G81" s="333">
        <f>SUM(G84:G86)</f>
        <v>100</v>
      </c>
      <c r="H81" s="333">
        <f t="shared" si="10"/>
        <v>0</v>
      </c>
      <c r="I81" s="333">
        <f t="shared" si="10"/>
        <v>0</v>
      </c>
    </row>
    <row r="82" spans="1:9" s="38" customFormat="1" ht="13.5">
      <c r="A82" s="206"/>
      <c r="B82" s="334" t="s">
        <v>110</v>
      </c>
      <c r="C82" s="77"/>
      <c r="D82" s="77"/>
      <c r="E82" s="79"/>
      <c r="F82" s="79"/>
      <c r="G82" s="104"/>
      <c r="H82" s="104"/>
      <c r="I82" s="104"/>
    </row>
    <row r="83" spans="1:9" s="38" customFormat="1" ht="13.5">
      <c r="A83" s="348"/>
      <c r="B83" s="352" t="s">
        <v>253</v>
      </c>
      <c r="C83" s="77"/>
      <c r="D83" s="77"/>
      <c r="E83" s="79"/>
      <c r="F83" s="79"/>
      <c r="G83" s="104"/>
      <c r="H83" s="104"/>
      <c r="I83" s="104"/>
    </row>
    <row r="84" spans="1:9" s="38" customFormat="1" ht="15">
      <c r="A84" s="77">
        <v>1</v>
      </c>
      <c r="B84" s="442" t="s">
        <v>953</v>
      </c>
      <c r="C84" s="77" t="s">
        <v>1</v>
      </c>
      <c r="D84" s="77">
        <v>1</v>
      </c>
      <c r="E84" s="79">
        <v>100</v>
      </c>
      <c r="F84" s="79">
        <v>1</v>
      </c>
      <c r="G84" s="79">
        <v>100</v>
      </c>
      <c r="H84" s="79">
        <f aca="true" t="shared" si="11" ref="H84:I87">F84-D84</f>
        <v>0</v>
      </c>
      <c r="I84" s="79">
        <f t="shared" si="11"/>
        <v>0</v>
      </c>
    </row>
    <row r="85" spans="1:9" s="38" customFormat="1" ht="13.5">
      <c r="A85" s="77">
        <v>2</v>
      </c>
      <c r="B85" s="353"/>
      <c r="C85" s="77" t="s">
        <v>1</v>
      </c>
      <c r="D85" s="77"/>
      <c r="E85" s="79"/>
      <c r="F85" s="79"/>
      <c r="G85" s="79"/>
      <c r="H85" s="79">
        <f t="shared" si="11"/>
        <v>0</v>
      </c>
      <c r="I85" s="79">
        <f t="shared" si="11"/>
        <v>0</v>
      </c>
    </row>
    <row r="86" spans="1:9" s="38" customFormat="1" ht="13.5">
      <c r="A86" s="77">
        <v>3</v>
      </c>
      <c r="B86" s="353"/>
      <c r="C86" s="77" t="s">
        <v>1</v>
      </c>
      <c r="D86" s="77"/>
      <c r="E86" s="79"/>
      <c r="F86" s="79"/>
      <c r="G86" s="79"/>
      <c r="H86" s="79">
        <f t="shared" si="11"/>
        <v>0</v>
      </c>
      <c r="I86" s="79">
        <f t="shared" si="11"/>
        <v>0</v>
      </c>
    </row>
    <row r="87" spans="1:9" s="38" customFormat="1" ht="14.25">
      <c r="A87" s="331" t="s">
        <v>200</v>
      </c>
      <c r="B87" s="351" t="s">
        <v>39</v>
      </c>
      <c r="C87" s="332">
        <v>4241</v>
      </c>
      <c r="D87" s="332"/>
      <c r="E87" s="333">
        <f>SUM(E90:E92)</f>
        <v>429.7</v>
      </c>
      <c r="F87" s="333"/>
      <c r="G87" s="333">
        <f>SUM(G90:G92)</f>
        <v>429.7</v>
      </c>
      <c r="H87" s="333">
        <f t="shared" si="11"/>
        <v>0</v>
      </c>
      <c r="I87" s="333">
        <f t="shared" si="11"/>
        <v>0</v>
      </c>
    </row>
    <row r="88" spans="1:9" s="38" customFormat="1" ht="13.5">
      <c r="A88" s="206"/>
      <c r="B88" s="334" t="s">
        <v>110</v>
      </c>
      <c r="C88" s="77"/>
      <c r="D88" s="77"/>
      <c r="E88" s="79"/>
      <c r="F88" s="79"/>
      <c r="G88" s="104"/>
      <c r="H88" s="104"/>
      <c r="I88" s="104"/>
    </row>
    <row r="89" spans="1:9" s="38" customFormat="1" ht="13.5">
      <c r="A89" s="348"/>
      <c r="B89" s="352" t="s">
        <v>253</v>
      </c>
      <c r="C89" s="77"/>
      <c r="D89" s="77"/>
      <c r="E89" s="79"/>
      <c r="F89" s="79"/>
      <c r="G89" s="104"/>
      <c r="H89" s="104"/>
      <c r="I89" s="104"/>
    </row>
    <row r="90" spans="1:9" s="38" customFormat="1" ht="28.5">
      <c r="A90" s="77">
        <v>1</v>
      </c>
      <c r="B90" s="579" t="s">
        <v>952</v>
      </c>
      <c r="C90" s="77" t="s">
        <v>1</v>
      </c>
      <c r="D90" s="77">
        <v>1</v>
      </c>
      <c r="E90" s="79">
        <v>429.7</v>
      </c>
      <c r="F90" s="79">
        <v>1</v>
      </c>
      <c r="G90" s="79">
        <v>429.7</v>
      </c>
      <c r="H90" s="79">
        <f aca="true" t="shared" si="12" ref="H90:I93">F90-D90</f>
        <v>0</v>
      </c>
      <c r="I90" s="79">
        <f t="shared" si="12"/>
        <v>0</v>
      </c>
    </row>
    <row r="91" spans="1:9" s="38" customFormat="1" ht="13.5">
      <c r="A91" s="77">
        <v>2</v>
      </c>
      <c r="B91" s="353"/>
      <c r="C91" s="77" t="s">
        <v>1</v>
      </c>
      <c r="D91" s="77"/>
      <c r="E91" s="79"/>
      <c r="F91" s="79"/>
      <c r="G91" s="79"/>
      <c r="H91" s="79">
        <f t="shared" si="12"/>
        <v>0</v>
      </c>
      <c r="I91" s="79">
        <f t="shared" si="12"/>
        <v>0</v>
      </c>
    </row>
    <row r="92" spans="1:9" s="38" customFormat="1" ht="13.5">
      <c r="A92" s="77">
        <v>3</v>
      </c>
      <c r="B92" s="353"/>
      <c r="C92" s="77" t="s">
        <v>1</v>
      </c>
      <c r="D92" s="77"/>
      <c r="E92" s="79"/>
      <c r="F92" s="79"/>
      <c r="G92" s="79"/>
      <c r="H92" s="79">
        <f t="shared" si="12"/>
        <v>0</v>
      </c>
      <c r="I92" s="79">
        <f t="shared" si="12"/>
        <v>0</v>
      </c>
    </row>
    <row r="93" spans="1:9" s="38" customFormat="1" ht="28.5">
      <c r="A93" s="331" t="s">
        <v>200</v>
      </c>
      <c r="B93" s="443" t="s">
        <v>41</v>
      </c>
      <c r="C93" s="332">
        <v>4252</v>
      </c>
      <c r="D93" s="332"/>
      <c r="E93" s="333">
        <f>SUM(E96:E98)</f>
        <v>1037.5</v>
      </c>
      <c r="F93" s="333"/>
      <c r="G93" s="333">
        <f>SUM(G96:G98)</f>
        <v>1037.5</v>
      </c>
      <c r="H93" s="333">
        <f t="shared" si="12"/>
        <v>0</v>
      </c>
      <c r="I93" s="333">
        <f t="shared" si="12"/>
        <v>0</v>
      </c>
    </row>
    <row r="94" spans="1:9" s="38" customFormat="1" ht="13.5">
      <c r="A94" s="206"/>
      <c r="B94" s="334" t="s">
        <v>110</v>
      </c>
      <c r="C94" s="77"/>
      <c r="D94" s="77"/>
      <c r="E94" s="79"/>
      <c r="F94" s="79"/>
      <c r="G94" s="104"/>
      <c r="H94" s="104"/>
      <c r="I94" s="104"/>
    </row>
    <row r="95" spans="1:9" s="38" customFormat="1" ht="13.5">
      <c r="A95" s="348"/>
      <c r="B95" s="352" t="s">
        <v>253</v>
      </c>
      <c r="C95" s="77"/>
      <c r="D95" s="77"/>
      <c r="E95" s="79"/>
      <c r="F95" s="79"/>
      <c r="G95" s="104"/>
      <c r="H95" s="104"/>
      <c r="I95" s="104"/>
    </row>
    <row r="96" spans="1:9" s="38" customFormat="1" ht="13.5">
      <c r="A96" s="77">
        <v>1</v>
      </c>
      <c r="B96" s="250" t="s">
        <v>42</v>
      </c>
      <c r="C96" s="77" t="s">
        <v>1</v>
      </c>
      <c r="D96" s="77">
        <v>1</v>
      </c>
      <c r="E96" s="79">
        <v>756</v>
      </c>
      <c r="F96" s="79">
        <v>1</v>
      </c>
      <c r="G96" s="79">
        <v>756</v>
      </c>
      <c r="H96" s="79">
        <f aca="true" t="shared" si="13" ref="H96:I99">F96-D96</f>
        <v>0</v>
      </c>
      <c r="I96" s="79">
        <f t="shared" si="13"/>
        <v>0</v>
      </c>
    </row>
    <row r="97" spans="1:9" s="38" customFormat="1" ht="13.5">
      <c r="A97" s="77">
        <v>2</v>
      </c>
      <c r="B97" s="250" t="s">
        <v>43</v>
      </c>
      <c r="C97" s="77" t="s">
        <v>1</v>
      </c>
      <c r="D97" s="77">
        <v>1</v>
      </c>
      <c r="E97" s="79">
        <v>281.5</v>
      </c>
      <c r="F97" s="79">
        <v>1</v>
      </c>
      <c r="G97" s="79">
        <v>281.5</v>
      </c>
      <c r="H97" s="79">
        <f t="shared" si="13"/>
        <v>0</v>
      </c>
      <c r="I97" s="79">
        <f t="shared" si="13"/>
        <v>0</v>
      </c>
    </row>
    <row r="98" spans="1:9" s="38" customFormat="1" ht="13.5">
      <c r="A98" s="77">
        <v>3</v>
      </c>
      <c r="B98" s="353"/>
      <c r="C98" s="77" t="s">
        <v>1</v>
      </c>
      <c r="D98" s="77"/>
      <c r="E98" s="79"/>
      <c r="F98" s="79"/>
      <c r="G98" s="79"/>
      <c r="H98" s="79">
        <f t="shared" si="13"/>
        <v>0</v>
      </c>
      <c r="I98" s="79">
        <f t="shared" si="13"/>
        <v>0</v>
      </c>
    </row>
    <row r="99" spans="1:9" s="38" customFormat="1" ht="14.25">
      <c r="A99" s="331" t="s">
        <v>200</v>
      </c>
      <c r="B99" s="351" t="s">
        <v>44</v>
      </c>
      <c r="C99" s="332">
        <v>4261</v>
      </c>
      <c r="D99" s="332"/>
      <c r="E99" s="333">
        <f>SUM(E102:E132)</f>
        <v>1183</v>
      </c>
      <c r="F99" s="333"/>
      <c r="G99" s="333">
        <f>SUM(G102:G132)</f>
        <v>1183</v>
      </c>
      <c r="H99" s="333">
        <f t="shared" si="13"/>
        <v>0</v>
      </c>
      <c r="I99" s="333">
        <f t="shared" si="13"/>
        <v>0</v>
      </c>
    </row>
    <row r="100" spans="1:9" s="38" customFormat="1" ht="13.5">
      <c r="A100" s="206"/>
      <c r="B100" s="334" t="s">
        <v>110</v>
      </c>
      <c r="C100" s="77"/>
      <c r="D100" s="77"/>
      <c r="E100" s="79"/>
      <c r="F100" s="79"/>
      <c r="G100" s="104"/>
      <c r="H100" s="104"/>
      <c r="I100" s="104"/>
    </row>
    <row r="101" spans="1:9" s="38" customFormat="1" ht="13.5">
      <c r="A101" s="348"/>
      <c r="B101" s="352" t="s">
        <v>253</v>
      </c>
      <c r="C101" s="77"/>
      <c r="D101" s="77"/>
      <c r="E101" s="79"/>
      <c r="F101" s="79"/>
      <c r="G101" s="104"/>
      <c r="H101" s="104"/>
      <c r="I101" s="104"/>
    </row>
    <row r="102" spans="1:9" s="38" customFormat="1" ht="13.5">
      <c r="A102" s="591">
        <v>1</v>
      </c>
      <c r="B102" s="562" t="s">
        <v>961</v>
      </c>
      <c r="C102" s="562" t="s">
        <v>1</v>
      </c>
      <c r="D102" s="576">
        <v>2</v>
      </c>
      <c r="E102" s="575">
        <v>99.8</v>
      </c>
      <c r="F102" s="576">
        <v>2</v>
      </c>
      <c r="G102" s="575">
        <v>99.8</v>
      </c>
      <c r="H102" s="573">
        <f aca="true" t="shared" si="14" ref="H102:H132">F102-D102</f>
        <v>0</v>
      </c>
      <c r="I102" s="573">
        <f aca="true" t="shared" si="15" ref="I102:I132">G102-E102</f>
        <v>0</v>
      </c>
    </row>
    <row r="103" spans="1:9" s="38" customFormat="1" ht="26.25">
      <c r="A103" s="591">
        <v>2</v>
      </c>
      <c r="B103" s="590" t="s">
        <v>962</v>
      </c>
      <c r="C103" s="562" t="s">
        <v>1</v>
      </c>
      <c r="D103" s="576">
        <v>17</v>
      </c>
      <c r="E103" s="575">
        <v>10.2</v>
      </c>
      <c r="F103" s="576">
        <v>17</v>
      </c>
      <c r="G103" s="575">
        <v>10.2</v>
      </c>
      <c r="H103" s="573">
        <f t="shared" si="14"/>
        <v>0</v>
      </c>
      <c r="I103" s="573">
        <f t="shared" si="15"/>
        <v>0</v>
      </c>
    </row>
    <row r="104" spans="1:9" s="38" customFormat="1" ht="13.5">
      <c r="A104" s="591">
        <v>3</v>
      </c>
      <c r="B104" s="562" t="s">
        <v>893</v>
      </c>
      <c r="C104" s="562" t="s">
        <v>1</v>
      </c>
      <c r="D104" s="576">
        <v>60</v>
      </c>
      <c r="E104" s="574">
        <v>3</v>
      </c>
      <c r="F104" s="576">
        <v>60</v>
      </c>
      <c r="G104" s="574">
        <v>3</v>
      </c>
      <c r="H104" s="573">
        <f t="shared" si="14"/>
        <v>0</v>
      </c>
      <c r="I104" s="573">
        <f t="shared" si="15"/>
        <v>0</v>
      </c>
    </row>
    <row r="105" spans="1:9" s="451" customFormat="1" ht="13.5">
      <c r="A105" s="591">
        <v>4</v>
      </c>
      <c r="B105" s="562" t="s">
        <v>894</v>
      </c>
      <c r="C105" s="562" t="s">
        <v>1</v>
      </c>
      <c r="D105" s="576">
        <v>10</v>
      </c>
      <c r="E105" s="574">
        <v>50</v>
      </c>
      <c r="F105" s="576">
        <v>10</v>
      </c>
      <c r="G105" s="574">
        <v>50</v>
      </c>
      <c r="H105" s="573">
        <f t="shared" si="14"/>
        <v>0</v>
      </c>
      <c r="I105" s="573">
        <f t="shared" si="15"/>
        <v>0</v>
      </c>
    </row>
    <row r="106" spans="1:9" s="38" customFormat="1" ht="13.5">
      <c r="A106" s="591">
        <v>5</v>
      </c>
      <c r="B106" s="562" t="s">
        <v>895</v>
      </c>
      <c r="C106" s="562" t="s">
        <v>1</v>
      </c>
      <c r="D106" s="576">
        <v>30</v>
      </c>
      <c r="E106" s="574">
        <v>2.1</v>
      </c>
      <c r="F106" s="576">
        <v>30</v>
      </c>
      <c r="G106" s="574">
        <v>2.1</v>
      </c>
      <c r="H106" s="573">
        <f t="shared" si="14"/>
        <v>0</v>
      </c>
      <c r="I106" s="573">
        <f t="shared" si="15"/>
        <v>0</v>
      </c>
    </row>
    <row r="107" spans="1:9" s="38" customFormat="1" ht="13.5">
      <c r="A107" s="591">
        <v>6</v>
      </c>
      <c r="B107" s="562" t="s">
        <v>896</v>
      </c>
      <c r="C107" s="562" t="s">
        <v>1</v>
      </c>
      <c r="D107" s="576">
        <v>30</v>
      </c>
      <c r="E107" s="574">
        <v>3</v>
      </c>
      <c r="F107" s="576">
        <v>30</v>
      </c>
      <c r="G107" s="574">
        <v>3</v>
      </c>
      <c r="H107" s="573">
        <f t="shared" si="14"/>
        <v>0</v>
      </c>
      <c r="I107" s="573">
        <f t="shared" si="15"/>
        <v>0</v>
      </c>
    </row>
    <row r="108" spans="1:9" s="38" customFormat="1" ht="13.5">
      <c r="A108" s="591">
        <v>7</v>
      </c>
      <c r="B108" s="562" t="s">
        <v>897</v>
      </c>
      <c r="C108" s="562" t="s">
        <v>1</v>
      </c>
      <c r="D108" s="576">
        <v>500</v>
      </c>
      <c r="E108" s="574">
        <v>4</v>
      </c>
      <c r="F108" s="576">
        <v>500</v>
      </c>
      <c r="G108" s="574">
        <v>4</v>
      </c>
      <c r="H108" s="573">
        <f t="shared" si="14"/>
        <v>0</v>
      </c>
      <c r="I108" s="573">
        <f t="shared" si="15"/>
        <v>0</v>
      </c>
    </row>
    <row r="109" spans="1:9" s="38" customFormat="1" ht="13.5">
      <c r="A109" s="591">
        <v>8</v>
      </c>
      <c r="B109" s="562" t="s">
        <v>898</v>
      </c>
      <c r="C109" s="562" t="s">
        <v>1</v>
      </c>
      <c r="D109" s="576">
        <v>200</v>
      </c>
      <c r="E109" s="574">
        <v>12</v>
      </c>
      <c r="F109" s="576">
        <v>200</v>
      </c>
      <c r="G109" s="574">
        <v>12</v>
      </c>
      <c r="H109" s="573">
        <f t="shared" si="14"/>
        <v>0</v>
      </c>
      <c r="I109" s="573">
        <f t="shared" si="15"/>
        <v>0</v>
      </c>
    </row>
    <row r="110" spans="1:9" s="38" customFormat="1" ht="13.5">
      <c r="A110" s="591">
        <v>9</v>
      </c>
      <c r="B110" s="562" t="s">
        <v>899</v>
      </c>
      <c r="C110" s="562" t="s">
        <v>1</v>
      </c>
      <c r="D110" s="576">
        <v>20</v>
      </c>
      <c r="E110" s="574">
        <v>12</v>
      </c>
      <c r="F110" s="576">
        <v>20</v>
      </c>
      <c r="G110" s="574">
        <v>12</v>
      </c>
      <c r="H110" s="573">
        <f t="shared" si="14"/>
        <v>0</v>
      </c>
      <c r="I110" s="573">
        <f t="shared" si="15"/>
        <v>0</v>
      </c>
    </row>
    <row r="111" spans="1:9" s="38" customFormat="1" ht="13.5">
      <c r="A111" s="591">
        <v>10</v>
      </c>
      <c r="B111" s="562" t="s">
        <v>900</v>
      </c>
      <c r="C111" s="562" t="s">
        <v>1</v>
      </c>
      <c r="D111" s="576">
        <v>10</v>
      </c>
      <c r="E111" s="574">
        <v>5</v>
      </c>
      <c r="F111" s="576">
        <v>10</v>
      </c>
      <c r="G111" s="574">
        <v>5</v>
      </c>
      <c r="H111" s="573">
        <f t="shared" si="14"/>
        <v>0</v>
      </c>
      <c r="I111" s="573">
        <f t="shared" si="15"/>
        <v>0</v>
      </c>
    </row>
    <row r="112" spans="1:9" s="38" customFormat="1" ht="13.5">
      <c r="A112" s="591">
        <v>11</v>
      </c>
      <c r="B112" s="562" t="s">
        <v>901</v>
      </c>
      <c r="C112" s="562" t="s">
        <v>1</v>
      </c>
      <c r="D112" s="576">
        <v>10</v>
      </c>
      <c r="E112" s="574">
        <v>10</v>
      </c>
      <c r="F112" s="576">
        <v>10</v>
      </c>
      <c r="G112" s="574">
        <v>10</v>
      </c>
      <c r="H112" s="573">
        <f t="shared" si="14"/>
        <v>0</v>
      </c>
      <c r="I112" s="573">
        <f t="shared" si="15"/>
        <v>0</v>
      </c>
    </row>
    <row r="113" spans="1:9" s="38" customFormat="1" ht="13.5">
      <c r="A113" s="591">
        <v>12</v>
      </c>
      <c r="B113" s="562" t="s">
        <v>902</v>
      </c>
      <c r="C113" s="562" t="s">
        <v>1</v>
      </c>
      <c r="D113" s="576">
        <v>100</v>
      </c>
      <c r="E113" s="574">
        <v>10</v>
      </c>
      <c r="F113" s="576">
        <v>100</v>
      </c>
      <c r="G113" s="574">
        <v>10</v>
      </c>
      <c r="H113" s="573">
        <f t="shared" si="14"/>
        <v>0</v>
      </c>
      <c r="I113" s="573">
        <f t="shared" si="15"/>
        <v>0</v>
      </c>
    </row>
    <row r="114" spans="1:9" s="38" customFormat="1" ht="13.5">
      <c r="A114" s="591">
        <v>13</v>
      </c>
      <c r="B114" s="562" t="s">
        <v>903</v>
      </c>
      <c r="C114" s="562" t="s">
        <v>1</v>
      </c>
      <c r="D114" s="576">
        <v>700</v>
      </c>
      <c r="E114" s="574">
        <v>525</v>
      </c>
      <c r="F114" s="576">
        <v>700</v>
      </c>
      <c r="G114" s="574">
        <v>525</v>
      </c>
      <c r="H114" s="573">
        <f t="shared" si="14"/>
        <v>0</v>
      </c>
      <c r="I114" s="573">
        <f t="shared" si="15"/>
        <v>0</v>
      </c>
    </row>
    <row r="115" spans="1:9" s="38" customFormat="1" ht="13.5">
      <c r="A115" s="591">
        <v>14</v>
      </c>
      <c r="B115" s="562" t="s">
        <v>904</v>
      </c>
      <c r="C115" s="562" t="s">
        <v>1</v>
      </c>
      <c r="D115" s="576">
        <v>15</v>
      </c>
      <c r="E115" s="574">
        <v>45</v>
      </c>
      <c r="F115" s="576">
        <v>15</v>
      </c>
      <c r="G115" s="574">
        <v>45</v>
      </c>
      <c r="H115" s="573">
        <f t="shared" si="14"/>
        <v>0</v>
      </c>
      <c r="I115" s="573">
        <f t="shared" si="15"/>
        <v>0</v>
      </c>
    </row>
    <row r="116" spans="1:9" s="38" customFormat="1" ht="13.5">
      <c r="A116" s="591">
        <v>15</v>
      </c>
      <c r="B116" s="562" t="s">
        <v>905</v>
      </c>
      <c r="C116" s="562" t="s">
        <v>1</v>
      </c>
      <c r="D116" s="576">
        <v>100</v>
      </c>
      <c r="E116" s="574">
        <v>60</v>
      </c>
      <c r="F116" s="576">
        <v>100</v>
      </c>
      <c r="G116" s="574">
        <v>60</v>
      </c>
      <c r="H116" s="573">
        <f t="shared" si="14"/>
        <v>0</v>
      </c>
      <c r="I116" s="573">
        <f t="shared" si="15"/>
        <v>0</v>
      </c>
    </row>
    <row r="117" spans="1:9" s="38" customFormat="1" ht="13.5">
      <c r="A117" s="591">
        <v>16</v>
      </c>
      <c r="B117" s="562" t="s">
        <v>906</v>
      </c>
      <c r="C117" s="562" t="s">
        <v>1</v>
      </c>
      <c r="D117" s="576">
        <v>200</v>
      </c>
      <c r="E117" s="574">
        <v>24</v>
      </c>
      <c r="F117" s="576">
        <v>200</v>
      </c>
      <c r="G117" s="574">
        <v>24</v>
      </c>
      <c r="H117" s="573">
        <f t="shared" si="14"/>
        <v>0</v>
      </c>
      <c r="I117" s="573">
        <f t="shared" si="15"/>
        <v>0</v>
      </c>
    </row>
    <row r="118" spans="1:9" s="38" customFormat="1" ht="13.5">
      <c r="A118" s="591">
        <v>17</v>
      </c>
      <c r="B118" s="562" t="s">
        <v>957</v>
      </c>
      <c r="C118" s="562" t="s">
        <v>1</v>
      </c>
      <c r="D118" s="576">
        <v>15</v>
      </c>
      <c r="E118" s="574">
        <v>60</v>
      </c>
      <c r="F118" s="576">
        <v>15</v>
      </c>
      <c r="G118" s="574">
        <v>60</v>
      </c>
      <c r="H118" s="573">
        <f t="shared" si="14"/>
        <v>0</v>
      </c>
      <c r="I118" s="573">
        <f t="shared" si="15"/>
        <v>0</v>
      </c>
    </row>
    <row r="119" spans="1:9" s="38" customFormat="1" ht="13.5">
      <c r="A119" s="591">
        <v>18</v>
      </c>
      <c r="B119" s="562" t="s">
        <v>958</v>
      </c>
      <c r="C119" s="562" t="s">
        <v>1</v>
      </c>
      <c r="D119" s="576">
        <v>100</v>
      </c>
      <c r="E119" s="574">
        <v>10</v>
      </c>
      <c r="F119" s="576">
        <v>100</v>
      </c>
      <c r="G119" s="574">
        <v>10</v>
      </c>
      <c r="H119" s="573">
        <f t="shared" si="14"/>
        <v>0</v>
      </c>
      <c r="I119" s="573">
        <f t="shared" si="15"/>
        <v>0</v>
      </c>
    </row>
    <row r="120" spans="1:9" s="38" customFormat="1" ht="13.5">
      <c r="A120" s="591">
        <v>19</v>
      </c>
      <c r="B120" s="562" t="s">
        <v>907</v>
      </c>
      <c r="C120" s="562" t="s">
        <v>1</v>
      </c>
      <c r="D120" s="576">
        <v>30</v>
      </c>
      <c r="E120" s="574">
        <v>7.5</v>
      </c>
      <c r="F120" s="576">
        <v>30</v>
      </c>
      <c r="G120" s="574">
        <v>7.5</v>
      </c>
      <c r="H120" s="573">
        <f t="shared" si="14"/>
        <v>0</v>
      </c>
      <c r="I120" s="573">
        <f t="shared" si="15"/>
        <v>0</v>
      </c>
    </row>
    <row r="121" spans="1:9" s="38" customFormat="1" ht="13.5">
      <c r="A121" s="591">
        <v>20</v>
      </c>
      <c r="B121" s="562" t="s">
        <v>908</v>
      </c>
      <c r="C121" s="562" t="s">
        <v>1</v>
      </c>
      <c r="D121" s="576">
        <v>22</v>
      </c>
      <c r="E121" s="574">
        <v>4.4</v>
      </c>
      <c r="F121" s="576">
        <v>22</v>
      </c>
      <c r="G121" s="574">
        <v>4.4</v>
      </c>
      <c r="H121" s="573">
        <f t="shared" si="14"/>
        <v>0</v>
      </c>
      <c r="I121" s="573">
        <f t="shared" si="15"/>
        <v>0</v>
      </c>
    </row>
    <row r="122" spans="1:9" s="38" customFormat="1" ht="13.5">
      <c r="A122" s="591">
        <v>21</v>
      </c>
      <c r="B122" s="562" t="s">
        <v>959</v>
      </c>
      <c r="C122" s="562" t="s">
        <v>1</v>
      </c>
      <c r="D122" s="576">
        <v>10</v>
      </c>
      <c r="E122" s="574">
        <v>30</v>
      </c>
      <c r="F122" s="576">
        <v>10</v>
      </c>
      <c r="G122" s="574">
        <v>30</v>
      </c>
      <c r="H122" s="573">
        <f t="shared" si="14"/>
        <v>0</v>
      </c>
      <c r="I122" s="573">
        <f t="shared" si="15"/>
        <v>0</v>
      </c>
    </row>
    <row r="123" spans="1:9" s="38" customFormat="1" ht="13.5">
      <c r="A123" s="591">
        <v>22</v>
      </c>
      <c r="B123" s="578" t="s">
        <v>924</v>
      </c>
      <c r="C123" s="562" t="s">
        <v>1</v>
      </c>
      <c r="D123" s="576">
        <v>20</v>
      </c>
      <c r="E123" s="574">
        <v>40</v>
      </c>
      <c r="F123" s="576">
        <v>20</v>
      </c>
      <c r="G123" s="574">
        <v>40</v>
      </c>
      <c r="H123" s="573">
        <f t="shared" si="14"/>
        <v>0</v>
      </c>
      <c r="I123" s="573">
        <f t="shared" si="15"/>
        <v>0</v>
      </c>
    </row>
    <row r="124" spans="1:9" s="38" customFormat="1" ht="13.5">
      <c r="A124" s="591">
        <v>23</v>
      </c>
      <c r="B124" s="562" t="s">
        <v>909</v>
      </c>
      <c r="C124" s="562" t="s">
        <v>1</v>
      </c>
      <c r="D124" s="576">
        <v>20</v>
      </c>
      <c r="E124" s="574">
        <v>50</v>
      </c>
      <c r="F124" s="576">
        <v>20</v>
      </c>
      <c r="G124" s="574">
        <v>50</v>
      </c>
      <c r="H124" s="573">
        <f t="shared" si="14"/>
        <v>0</v>
      </c>
      <c r="I124" s="573">
        <f t="shared" si="15"/>
        <v>0</v>
      </c>
    </row>
    <row r="125" spans="1:9" s="38" customFormat="1" ht="13.5">
      <c r="A125" s="591">
        <v>25</v>
      </c>
      <c r="B125" s="562" t="s">
        <v>910</v>
      </c>
      <c r="C125" s="562" t="s">
        <v>1</v>
      </c>
      <c r="D125" s="576">
        <v>3</v>
      </c>
      <c r="E125" s="574">
        <v>9</v>
      </c>
      <c r="F125" s="576">
        <v>3</v>
      </c>
      <c r="G125" s="574">
        <v>9</v>
      </c>
      <c r="H125" s="573">
        <f t="shared" si="14"/>
        <v>0</v>
      </c>
      <c r="I125" s="573">
        <f t="shared" si="15"/>
        <v>0</v>
      </c>
    </row>
    <row r="126" spans="1:9" s="38" customFormat="1" ht="13.5">
      <c r="A126" s="591">
        <v>26</v>
      </c>
      <c r="B126" s="562" t="s">
        <v>960</v>
      </c>
      <c r="C126" s="562" t="s">
        <v>1</v>
      </c>
      <c r="D126" s="576">
        <v>40</v>
      </c>
      <c r="E126" s="574">
        <v>8</v>
      </c>
      <c r="F126" s="576">
        <v>40</v>
      </c>
      <c r="G126" s="574">
        <v>8</v>
      </c>
      <c r="H126" s="573">
        <f>F126-D126</f>
        <v>0</v>
      </c>
      <c r="I126" s="573">
        <f t="shared" si="15"/>
        <v>0</v>
      </c>
    </row>
    <row r="127" spans="1:9" s="451" customFormat="1" ht="13.5">
      <c r="A127" s="591">
        <v>27</v>
      </c>
      <c r="B127" s="562" t="s">
        <v>912</v>
      </c>
      <c r="C127" s="562" t="s">
        <v>1</v>
      </c>
      <c r="D127" s="576">
        <v>40</v>
      </c>
      <c r="E127" s="574">
        <v>20</v>
      </c>
      <c r="F127" s="576">
        <v>40</v>
      </c>
      <c r="G127" s="574">
        <v>20</v>
      </c>
      <c r="H127" s="573">
        <f t="shared" si="14"/>
        <v>0</v>
      </c>
      <c r="I127" s="573">
        <f t="shared" si="15"/>
        <v>0</v>
      </c>
    </row>
    <row r="128" spans="1:9" s="38" customFormat="1" ht="13.5">
      <c r="A128" s="591">
        <v>28</v>
      </c>
      <c r="B128" s="562" t="s">
        <v>913</v>
      </c>
      <c r="C128" s="562" t="s">
        <v>1</v>
      </c>
      <c r="D128" s="576">
        <v>20</v>
      </c>
      <c r="E128" s="574">
        <v>3</v>
      </c>
      <c r="F128" s="576">
        <v>20</v>
      </c>
      <c r="G128" s="574">
        <v>3</v>
      </c>
      <c r="H128" s="573">
        <f t="shared" si="14"/>
        <v>0</v>
      </c>
      <c r="I128" s="573">
        <f t="shared" si="15"/>
        <v>0</v>
      </c>
    </row>
    <row r="129" spans="1:9" s="38" customFormat="1" ht="13.5">
      <c r="A129" s="591">
        <v>29</v>
      </c>
      <c r="B129" s="562" t="s">
        <v>914</v>
      </c>
      <c r="C129" s="562" t="s">
        <v>1</v>
      </c>
      <c r="D129" s="576">
        <v>20</v>
      </c>
      <c r="E129" s="574">
        <v>2</v>
      </c>
      <c r="F129" s="576">
        <v>20</v>
      </c>
      <c r="G129" s="574">
        <v>2</v>
      </c>
      <c r="H129" s="573">
        <f t="shared" si="14"/>
        <v>0</v>
      </c>
      <c r="I129" s="573">
        <f t="shared" si="15"/>
        <v>0</v>
      </c>
    </row>
    <row r="130" spans="1:9" s="451" customFormat="1" ht="13.5">
      <c r="A130" s="591">
        <v>30</v>
      </c>
      <c r="B130" s="562" t="s">
        <v>915</v>
      </c>
      <c r="C130" s="562" t="s">
        <v>1</v>
      </c>
      <c r="D130" s="576">
        <v>30</v>
      </c>
      <c r="E130" s="574">
        <v>30</v>
      </c>
      <c r="F130" s="576">
        <v>30</v>
      </c>
      <c r="G130" s="574">
        <v>30</v>
      </c>
      <c r="H130" s="573">
        <f t="shared" si="14"/>
        <v>0</v>
      </c>
      <c r="I130" s="573">
        <f t="shared" si="15"/>
        <v>0</v>
      </c>
    </row>
    <row r="131" spans="1:9" s="38" customFormat="1" ht="13.5">
      <c r="A131" s="591">
        <v>31</v>
      </c>
      <c r="B131" s="562" t="s">
        <v>916</v>
      </c>
      <c r="C131" s="562" t="s">
        <v>1</v>
      </c>
      <c r="D131" s="576">
        <v>200</v>
      </c>
      <c r="E131" s="574">
        <v>20</v>
      </c>
      <c r="F131" s="576">
        <v>200</v>
      </c>
      <c r="G131" s="574">
        <v>20</v>
      </c>
      <c r="H131" s="573">
        <f t="shared" si="14"/>
        <v>0</v>
      </c>
      <c r="I131" s="573">
        <f t="shared" si="15"/>
        <v>0</v>
      </c>
    </row>
    <row r="132" spans="1:9" s="38" customFormat="1" ht="13.5">
      <c r="A132" s="591">
        <v>32</v>
      </c>
      <c r="B132" s="562" t="s">
        <v>917</v>
      </c>
      <c r="C132" s="562" t="s">
        <v>1</v>
      </c>
      <c r="D132" s="576">
        <v>200</v>
      </c>
      <c r="E132" s="574">
        <v>14</v>
      </c>
      <c r="F132" s="576">
        <v>200</v>
      </c>
      <c r="G132" s="574">
        <v>14</v>
      </c>
      <c r="H132" s="573">
        <f t="shared" si="14"/>
        <v>0</v>
      </c>
      <c r="I132" s="573">
        <f t="shared" si="15"/>
        <v>0</v>
      </c>
    </row>
    <row r="133" spans="1:9" s="38" customFormat="1" ht="14.25">
      <c r="A133" s="331" t="s">
        <v>200</v>
      </c>
      <c r="B133" s="351" t="s">
        <v>398</v>
      </c>
      <c r="C133" s="332">
        <v>4264</v>
      </c>
      <c r="D133" s="332"/>
      <c r="E133" s="333">
        <f>SUM(E136:E141)</f>
        <v>3979.3999999999996</v>
      </c>
      <c r="F133" s="333"/>
      <c r="G133" s="333">
        <f>SUM(G136:G141)</f>
        <v>3979.3999999999996</v>
      </c>
      <c r="H133" s="333">
        <f>F133-D133</f>
        <v>0</v>
      </c>
      <c r="I133" s="333">
        <f>G133-E133</f>
        <v>0</v>
      </c>
    </row>
    <row r="134" spans="1:9" s="38" customFormat="1" ht="13.5">
      <c r="A134" s="206"/>
      <c r="B134" s="334" t="s">
        <v>110</v>
      </c>
      <c r="C134" s="77"/>
      <c r="D134" s="77"/>
      <c r="E134" s="79"/>
      <c r="F134" s="79"/>
      <c r="G134" s="104"/>
      <c r="H134" s="104"/>
      <c r="I134" s="104"/>
    </row>
    <row r="135" spans="1:9" s="38" customFormat="1" ht="13.5">
      <c r="A135" s="348"/>
      <c r="B135" s="352" t="s">
        <v>253</v>
      </c>
      <c r="C135" s="77"/>
      <c r="D135" s="77"/>
      <c r="E135" s="79"/>
      <c r="F135" s="79"/>
      <c r="G135" s="104"/>
      <c r="H135" s="104"/>
      <c r="I135" s="104"/>
    </row>
    <row r="136" spans="1:9" s="38" customFormat="1" ht="13.5">
      <c r="A136" s="348">
        <v>1</v>
      </c>
      <c r="B136" s="567" t="s">
        <v>918</v>
      </c>
      <c r="C136" s="563" t="s">
        <v>1</v>
      </c>
      <c r="D136" s="79">
        <v>10193</v>
      </c>
      <c r="E136" s="79">
        <v>3567.6</v>
      </c>
      <c r="F136" s="79">
        <v>10193</v>
      </c>
      <c r="G136" s="79">
        <v>3567.6</v>
      </c>
      <c r="H136" s="79">
        <f aca="true" t="shared" si="16" ref="H136:I142">F136-D136</f>
        <v>0</v>
      </c>
      <c r="I136" s="79">
        <f t="shared" si="16"/>
        <v>0</v>
      </c>
    </row>
    <row r="137" spans="1:9" s="38" customFormat="1" ht="13.5">
      <c r="A137" s="348">
        <v>2</v>
      </c>
      <c r="B137" s="568" t="s">
        <v>919</v>
      </c>
      <c r="C137" s="563" t="s">
        <v>1</v>
      </c>
      <c r="D137" s="79">
        <v>60</v>
      </c>
      <c r="E137" s="79">
        <v>300</v>
      </c>
      <c r="F137" s="79">
        <v>60</v>
      </c>
      <c r="G137" s="79">
        <v>300</v>
      </c>
      <c r="H137" s="79">
        <f t="shared" si="16"/>
        <v>0</v>
      </c>
      <c r="I137" s="79">
        <f t="shared" si="16"/>
        <v>0</v>
      </c>
    </row>
    <row r="138" spans="1:9" s="38" customFormat="1" ht="13.5">
      <c r="A138" s="348">
        <v>3</v>
      </c>
      <c r="B138" s="565" t="s">
        <v>920</v>
      </c>
      <c r="C138" s="563" t="s">
        <v>1</v>
      </c>
      <c r="D138" s="79">
        <v>8</v>
      </c>
      <c r="E138" s="79">
        <v>64</v>
      </c>
      <c r="F138" s="79">
        <v>8</v>
      </c>
      <c r="G138" s="79">
        <v>64</v>
      </c>
      <c r="H138" s="79">
        <f t="shared" si="16"/>
        <v>0</v>
      </c>
      <c r="I138" s="79">
        <f t="shared" si="16"/>
        <v>0</v>
      </c>
    </row>
    <row r="139" spans="1:9" s="38" customFormat="1" ht="13.5">
      <c r="A139" s="77">
        <v>4</v>
      </c>
      <c r="B139" s="568" t="s">
        <v>921</v>
      </c>
      <c r="C139" s="563" t="s">
        <v>1</v>
      </c>
      <c r="D139" s="79">
        <v>2</v>
      </c>
      <c r="E139" s="79">
        <v>2.2</v>
      </c>
      <c r="F139" s="79">
        <v>2</v>
      </c>
      <c r="G139" s="79">
        <v>2.2</v>
      </c>
      <c r="H139" s="79">
        <f t="shared" si="16"/>
        <v>0</v>
      </c>
      <c r="I139" s="79">
        <f t="shared" si="16"/>
        <v>0</v>
      </c>
    </row>
    <row r="140" spans="1:9" s="38" customFormat="1" ht="38.25">
      <c r="A140" s="77">
        <v>5</v>
      </c>
      <c r="B140" s="569" t="s">
        <v>922</v>
      </c>
      <c r="C140" s="563" t="s">
        <v>1</v>
      </c>
      <c r="D140" s="79">
        <v>30</v>
      </c>
      <c r="E140" s="79">
        <v>36</v>
      </c>
      <c r="F140" s="79">
        <v>30</v>
      </c>
      <c r="G140" s="79">
        <v>36</v>
      </c>
      <c r="H140" s="79">
        <f t="shared" si="16"/>
        <v>0</v>
      </c>
      <c r="I140" s="79">
        <f t="shared" si="16"/>
        <v>0</v>
      </c>
    </row>
    <row r="141" spans="1:9" s="38" customFormat="1" ht="13.5">
      <c r="A141" s="77">
        <v>6</v>
      </c>
      <c r="B141" s="565" t="s">
        <v>923</v>
      </c>
      <c r="C141" s="563" t="s">
        <v>1</v>
      </c>
      <c r="D141" s="79">
        <v>6</v>
      </c>
      <c r="E141" s="79">
        <v>9.6</v>
      </c>
      <c r="F141" s="79">
        <v>6</v>
      </c>
      <c r="G141" s="79">
        <v>9.6</v>
      </c>
      <c r="H141" s="79">
        <f t="shared" si="16"/>
        <v>0</v>
      </c>
      <c r="I141" s="79">
        <f t="shared" si="16"/>
        <v>0</v>
      </c>
    </row>
    <row r="142" spans="1:9" s="205" customFormat="1" ht="23.25" customHeight="1">
      <c r="A142" s="331" t="s">
        <v>200</v>
      </c>
      <c r="B142" s="351" t="s">
        <v>396</v>
      </c>
      <c r="C142" s="332">
        <v>4267</v>
      </c>
      <c r="D142" s="332"/>
      <c r="E142" s="333">
        <f>SUM(E145:E165)</f>
        <v>309.40000000000003</v>
      </c>
      <c r="F142" s="333"/>
      <c r="G142" s="333">
        <f>SUM(G145:G165)</f>
        <v>309.40000000000003</v>
      </c>
      <c r="H142" s="333">
        <f t="shared" si="16"/>
        <v>0</v>
      </c>
      <c r="I142" s="333">
        <f t="shared" si="16"/>
        <v>0</v>
      </c>
    </row>
    <row r="143" spans="1:9" s="38" customFormat="1" ht="13.5">
      <c r="A143" s="206"/>
      <c r="B143" s="334" t="s">
        <v>110</v>
      </c>
      <c r="C143" s="77"/>
      <c r="D143" s="77"/>
      <c r="E143" s="79"/>
      <c r="F143" s="79"/>
      <c r="G143" s="104"/>
      <c r="H143" s="104"/>
      <c r="I143" s="104"/>
    </row>
    <row r="144" spans="1:9" s="38" customFormat="1" ht="14.25" customHeight="1">
      <c r="A144" s="348"/>
      <c r="B144" s="352" t="s">
        <v>253</v>
      </c>
      <c r="C144" s="77"/>
      <c r="D144" s="77"/>
      <c r="E144" s="79"/>
      <c r="F144" s="79"/>
      <c r="G144" s="104"/>
      <c r="H144" s="104"/>
      <c r="I144" s="104"/>
    </row>
    <row r="145" spans="1:9" s="38" customFormat="1" ht="14.25" customHeight="1">
      <c r="A145" s="348">
        <v>1</v>
      </c>
      <c r="B145" s="578"/>
      <c r="C145" s="571"/>
      <c r="D145" s="577"/>
      <c r="E145" s="573"/>
      <c r="F145" s="577"/>
      <c r="G145" s="573"/>
      <c r="H145" s="79"/>
      <c r="I145" s="79"/>
    </row>
    <row r="146" spans="1:9" s="38" customFormat="1" ht="14.25" customHeight="1">
      <c r="A146" s="348">
        <v>2</v>
      </c>
      <c r="B146" s="578" t="s">
        <v>925</v>
      </c>
      <c r="C146" s="571" t="s">
        <v>1</v>
      </c>
      <c r="D146" s="577">
        <v>15</v>
      </c>
      <c r="E146" s="573">
        <v>37.5</v>
      </c>
      <c r="F146" s="577">
        <v>15</v>
      </c>
      <c r="G146" s="573">
        <v>37.5</v>
      </c>
      <c r="H146" s="79">
        <f aca="true" t="shared" si="17" ref="H146:I165">F146-D146</f>
        <v>0</v>
      </c>
      <c r="I146" s="79">
        <f t="shared" si="17"/>
        <v>0</v>
      </c>
    </row>
    <row r="147" spans="1:9" s="38" customFormat="1" ht="14.25" customHeight="1">
      <c r="A147" s="348">
        <v>3</v>
      </c>
      <c r="B147" s="578" t="s">
        <v>926</v>
      </c>
      <c r="C147" s="571" t="s">
        <v>1</v>
      </c>
      <c r="D147" s="577">
        <v>254</v>
      </c>
      <c r="E147" s="573">
        <v>25.4</v>
      </c>
      <c r="F147" s="577">
        <v>254</v>
      </c>
      <c r="G147" s="573">
        <v>25.4</v>
      </c>
      <c r="H147" s="79">
        <f t="shared" si="17"/>
        <v>0</v>
      </c>
      <c r="I147" s="79">
        <f t="shared" si="17"/>
        <v>0</v>
      </c>
    </row>
    <row r="148" spans="1:9" s="38" customFormat="1" ht="14.25" customHeight="1">
      <c r="A148" s="348">
        <v>4</v>
      </c>
      <c r="B148" s="578" t="s">
        <v>927</v>
      </c>
      <c r="C148" s="571" t="s">
        <v>1</v>
      </c>
      <c r="D148" s="577">
        <v>4</v>
      </c>
      <c r="E148" s="573">
        <v>2</v>
      </c>
      <c r="F148" s="577">
        <v>4</v>
      </c>
      <c r="G148" s="573">
        <v>2</v>
      </c>
      <c r="H148" s="79">
        <f t="shared" si="17"/>
        <v>0</v>
      </c>
      <c r="I148" s="79">
        <f t="shared" si="17"/>
        <v>0</v>
      </c>
    </row>
    <row r="149" spans="1:9" s="38" customFormat="1" ht="14.25" customHeight="1">
      <c r="A149" s="348">
        <v>5</v>
      </c>
      <c r="B149" s="578" t="s">
        <v>928</v>
      </c>
      <c r="C149" s="571" t="s">
        <v>1</v>
      </c>
      <c r="D149" s="577">
        <v>4</v>
      </c>
      <c r="E149" s="573">
        <v>5.2</v>
      </c>
      <c r="F149" s="577">
        <v>4</v>
      </c>
      <c r="G149" s="573">
        <v>5.2</v>
      </c>
      <c r="H149" s="79">
        <f t="shared" si="17"/>
        <v>0</v>
      </c>
      <c r="I149" s="79">
        <f t="shared" si="17"/>
        <v>0</v>
      </c>
    </row>
    <row r="150" spans="1:9" s="38" customFormat="1" ht="14.25" customHeight="1">
      <c r="A150" s="348">
        <v>6</v>
      </c>
      <c r="B150" s="578" t="s">
        <v>929</v>
      </c>
      <c r="C150" s="571" t="s">
        <v>1</v>
      </c>
      <c r="D150" s="577">
        <v>5</v>
      </c>
      <c r="E150" s="573">
        <v>17.5</v>
      </c>
      <c r="F150" s="577">
        <v>5</v>
      </c>
      <c r="G150" s="573">
        <v>17.5</v>
      </c>
      <c r="H150" s="79">
        <f t="shared" si="17"/>
        <v>0</v>
      </c>
      <c r="I150" s="79">
        <f t="shared" si="17"/>
        <v>0</v>
      </c>
    </row>
    <row r="151" spans="1:9" s="38" customFormat="1" ht="14.25" customHeight="1">
      <c r="A151" s="348">
        <v>7</v>
      </c>
      <c r="B151" s="578" t="s">
        <v>930</v>
      </c>
      <c r="C151" s="571" t="s">
        <v>1</v>
      </c>
      <c r="D151" s="577">
        <v>50</v>
      </c>
      <c r="E151" s="573">
        <v>30</v>
      </c>
      <c r="F151" s="577">
        <v>50</v>
      </c>
      <c r="G151" s="573">
        <v>30</v>
      </c>
      <c r="H151" s="79">
        <f t="shared" si="17"/>
        <v>0</v>
      </c>
      <c r="I151" s="79">
        <f t="shared" si="17"/>
        <v>0</v>
      </c>
    </row>
    <row r="152" spans="1:9" s="38" customFormat="1" ht="14.25" customHeight="1">
      <c r="A152" s="348">
        <v>8</v>
      </c>
      <c r="B152" s="578" t="s">
        <v>931</v>
      </c>
      <c r="C152" s="571" t="s">
        <v>1</v>
      </c>
      <c r="D152" s="577">
        <v>12</v>
      </c>
      <c r="E152" s="573">
        <v>4.2</v>
      </c>
      <c r="F152" s="577">
        <v>12</v>
      </c>
      <c r="G152" s="573">
        <v>4.2</v>
      </c>
      <c r="H152" s="79">
        <f t="shared" si="17"/>
        <v>0</v>
      </c>
      <c r="I152" s="79">
        <f t="shared" si="17"/>
        <v>0</v>
      </c>
    </row>
    <row r="153" spans="1:9" s="38" customFormat="1" ht="14.25" customHeight="1">
      <c r="A153" s="348">
        <v>9</v>
      </c>
      <c r="B153" s="578" t="s">
        <v>932</v>
      </c>
      <c r="C153" s="571" t="s">
        <v>1</v>
      </c>
      <c r="D153" s="577">
        <v>10</v>
      </c>
      <c r="E153" s="573">
        <v>5</v>
      </c>
      <c r="F153" s="577">
        <v>10</v>
      </c>
      <c r="G153" s="573">
        <v>5</v>
      </c>
      <c r="H153" s="79">
        <f t="shared" si="17"/>
        <v>0</v>
      </c>
      <c r="I153" s="79">
        <f t="shared" si="17"/>
        <v>0</v>
      </c>
    </row>
    <row r="154" spans="1:9" s="38" customFormat="1" ht="14.25" customHeight="1">
      <c r="A154" s="348">
        <v>10</v>
      </c>
      <c r="B154" s="578" t="s">
        <v>933</v>
      </c>
      <c r="C154" s="571" t="s">
        <v>1</v>
      </c>
      <c r="D154" s="577">
        <v>20</v>
      </c>
      <c r="E154" s="573">
        <v>10</v>
      </c>
      <c r="F154" s="577">
        <v>20</v>
      </c>
      <c r="G154" s="573">
        <v>10</v>
      </c>
      <c r="H154" s="79">
        <f t="shared" si="17"/>
        <v>0</v>
      </c>
      <c r="I154" s="79">
        <f t="shared" si="17"/>
        <v>0</v>
      </c>
    </row>
    <row r="155" spans="1:9" s="38" customFormat="1" ht="14.25" customHeight="1">
      <c r="A155" s="348">
        <v>11</v>
      </c>
      <c r="B155" s="578" t="s">
        <v>934</v>
      </c>
      <c r="C155" s="571" t="s">
        <v>1</v>
      </c>
      <c r="D155" s="577">
        <v>10</v>
      </c>
      <c r="E155" s="573">
        <v>8</v>
      </c>
      <c r="F155" s="577">
        <v>10</v>
      </c>
      <c r="G155" s="573">
        <v>8</v>
      </c>
      <c r="H155" s="79">
        <f t="shared" si="17"/>
        <v>0</v>
      </c>
      <c r="I155" s="79">
        <f t="shared" si="17"/>
        <v>0</v>
      </c>
    </row>
    <row r="156" spans="1:9" s="38" customFormat="1" ht="14.25" customHeight="1">
      <c r="A156" s="348">
        <v>12</v>
      </c>
      <c r="B156" s="578" t="s">
        <v>935</v>
      </c>
      <c r="C156" s="571" t="s">
        <v>1</v>
      </c>
      <c r="D156" s="577">
        <v>4</v>
      </c>
      <c r="E156" s="573">
        <v>4</v>
      </c>
      <c r="F156" s="577">
        <v>4</v>
      </c>
      <c r="G156" s="573">
        <v>4</v>
      </c>
      <c r="H156" s="79">
        <f t="shared" si="17"/>
        <v>0</v>
      </c>
      <c r="I156" s="79">
        <f t="shared" si="17"/>
        <v>0</v>
      </c>
    </row>
    <row r="157" spans="1:9" s="38" customFormat="1" ht="14.25" customHeight="1">
      <c r="A157" s="348">
        <v>13</v>
      </c>
      <c r="B157" s="578" t="s">
        <v>936</v>
      </c>
      <c r="C157" s="571" t="s">
        <v>1</v>
      </c>
      <c r="D157" s="577">
        <v>20</v>
      </c>
      <c r="E157" s="573">
        <v>20</v>
      </c>
      <c r="F157" s="577">
        <v>20</v>
      </c>
      <c r="G157" s="573">
        <v>20</v>
      </c>
      <c r="H157" s="79">
        <f t="shared" si="17"/>
        <v>0</v>
      </c>
      <c r="I157" s="79">
        <f t="shared" si="17"/>
        <v>0</v>
      </c>
    </row>
    <row r="158" spans="1:9" s="38" customFormat="1" ht="14.25" customHeight="1">
      <c r="A158" s="348">
        <v>14</v>
      </c>
      <c r="B158" s="578" t="s">
        <v>937</v>
      </c>
      <c r="C158" s="571" t="s">
        <v>1</v>
      </c>
      <c r="D158" s="577">
        <v>4</v>
      </c>
      <c r="E158" s="573">
        <v>20</v>
      </c>
      <c r="F158" s="577">
        <v>4</v>
      </c>
      <c r="G158" s="573">
        <v>20</v>
      </c>
      <c r="H158" s="79">
        <f t="shared" si="17"/>
        <v>0</v>
      </c>
      <c r="I158" s="79">
        <f t="shared" si="17"/>
        <v>0</v>
      </c>
    </row>
    <row r="159" spans="1:9" s="38" customFormat="1" ht="14.25" customHeight="1">
      <c r="A159" s="348">
        <v>15</v>
      </c>
      <c r="B159" s="578" t="s">
        <v>938</v>
      </c>
      <c r="C159" s="571" t="s">
        <v>1</v>
      </c>
      <c r="D159" s="577">
        <v>10</v>
      </c>
      <c r="E159" s="573">
        <v>50</v>
      </c>
      <c r="F159" s="577">
        <v>10</v>
      </c>
      <c r="G159" s="573">
        <v>50</v>
      </c>
      <c r="H159" s="79">
        <f t="shared" si="17"/>
        <v>0</v>
      </c>
      <c r="I159" s="79">
        <f t="shared" si="17"/>
        <v>0</v>
      </c>
    </row>
    <row r="160" spans="1:9" s="38" customFormat="1" ht="14.25" customHeight="1">
      <c r="A160" s="348">
        <v>16</v>
      </c>
      <c r="B160" s="578" t="s">
        <v>939</v>
      </c>
      <c r="C160" s="571" t="s">
        <v>1</v>
      </c>
      <c r="D160" s="577">
        <v>20</v>
      </c>
      <c r="E160" s="573">
        <v>24</v>
      </c>
      <c r="F160" s="577">
        <v>20</v>
      </c>
      <c r="G160" s="573">
        <v>24</v>
      </c>
      <c r="H160" s="79">
        <f t="shared" si="17"/>
        <v>0</v>
      </c>
      <c r="I160" s="79">
        <f t="shared" si="17"/>
        <v>0</v>
      </c>
    </row>
    <row r="161" spans="1:9" s="38" customFormat="1" ht="14.25" customHeight="1">
      <c r="A161" s="348">
        <v>17</v>
      </c>
      <c r="B161" s="562" t="s">
        <v>911</v>
      </c>
      <c r="C161" s="571" t="s">
        <v>1</v>
      </c>
      <c r="D161" s="577">
        <v>96</v>
      </c>
      <c r="E161" s="573">
        <v>4.8</v>
      </c>
      <c r="F161" s="577">
        <v>96</v>
      </c>
      <c r="G161" s="573">
        <v>4.8</v>
      </c>
      <c r="H161" s="79">
        <f t="shared" si="17"/>
        <v>0</v>
      </c>
      <c r="I161" s="79">
        <f t="shared" si="17"/>
        <v>0</v>
      </c>
    </row>
    <row r="162" spans="1:9" s="38" customFormat="1" ht="14.25" customHeight="1">
      <c r="A162" s="348">
        <v>18</v>
      </c>
      <c r="B162" s="578" t="s">
        <v>940</v>
      </c>
      <c r="C162" s="571" t="s">
        <v>1</v>
      </c>
      <c r="D162" s="577">
        <v>16</v>
      </c>
      <c r="E162" s="573">
        <v>16</v>
      </c>
      <c r="F162" s="577">
        <v>16</v>
      </c>
      <c r="G162" s="573">
        <v>16</v>
      </c>
      <c r="H162" s="79">
        <f t="shared" si="17"/>
        <v>0</v>
      </c>
      <c r="I162" s="79">
        <f t="shared" si="17"/>
        <v>0</v>
      </c>
    </row>
    <row r="163" spans="1:9" s="38" customFormat="1" ht="14.25" customHeight="1">
      <c r="A163" s="348">
        <v>19</v>
      </c>
      <c r="B163" s="578" t="s">
        <v>956</v>
      </c>
      <c r="C163" s="571" t="s">
        <v>1</v>
      </c>
      <c r="D163" s="577">
        <v>60</v>
      </c>
      <c r="E163" s="573">
        <v>18</v>
      </c>
      <c r="F163" s="577">
        <v>60</v>
      </c>
      <c r="G163" s="573">
        <v>18</v>
      </c>
      <c r="H163" s="79">
        <f t="shared" si="17"/>
        <v>0</v>
      </c>
      <c r="I163" s="79">
        <f t="shared" si="17"/>
        <v>0</v>
      </c>
    </row>
    <row r="164" spans="1:9" s="38" customFormat="1" ht="14.25" customHeight="1">
      <c r="A164" s="348">
        <v>20</v>
      </c>
      <c r="B164" s="578" t="s">
        <v>941</v>
      </c>
      <c r="C164" s="571" t="s">
        <v>1</v>
      </c>
      <c r="D164" s="573">
        <v>10</v>
      </c>
      <c r="E164" s="573">
        <v>4.5</v>
      </c>
      <c r="F164" s="573">
        <v>10</v>
      </c>
      <c r="G164" s="573">
        <v>4.5</v>
      </c>
      <c r="H164" s="79">
        <f t="shared" si="17"/>
        <v>0</v>
      </c>
      <c r="I164" s="79">
        <f t="shared" si="17"/>
        <v>0</v>
      </c>
    </row>
    <row r="165" spans="1:9" s="38" customFormat="1" ht="14.25" customHeight="1">
      <c r="A165" s="348">
        <v>21</v>
      </c>
      <c r="B165" s="578" t="s">
        <v>942</v>
      </c>
      <c r="C165" s="571" t="s">
        <v>1</v>
      </c>
      <c r="D165" s="570">
        <v>5</v>
      </c>
      <c r="E165" s="572">
        <v>3.3</v>
      </c>
      <c r="F165" s="570">
        <v>5</v>
      </c>
      <c r="G165" s="572">
        <v>3.3</v>
      </c>
      <c r="H165" s="79">
        <f t="shared" si="17"/>
        <v>0</v>
      </c>
      <c r="I165" s="79">
        <f t="shared" si="17"/>
        <v>0</v>
      </c>
    </row>
    <row r="168" spans="1:6" ht="26.25" customHeight="1">
      <c r="A168" s="207" t="s">
        <v>7</v>
      </c>
      <c r="B168" s="614" t="s">
        <v>271</v>
      </c>
      <c r="C168" s="614"/>
      <c r="D168" s="614"/>
      <c r="E168" s="614"/>
      <c r="F168" s="560"/>
    </row>
  </sheetData>
  <sheetProtection/>
  <mergeCells count="5">
    <mergeCell ref="G2:I2"/>
    <mergeCell ref="B168:E168"/>
    <mergeCell ref="D7:E7"/>
    <mergeCell ref="F7:G7"/>
    <mergeCell ref="H7:I7"/>
  </mergeCells>
  <printOptions/>
  <pageMargins left="0.25" right="0.25" top="0.75" bottom="0.75" header="0.3" footer="0.3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42"/>
  <sheetViews>
    <sheetView view="pageBreakPreview" zoomScale="60" zoomScalePageLayoutView="0" workbookViewId="0" topLeftCell="A1">
      <selection activeCell="C13" sqref="C13"/>
    </sheetView>
  </sheetViews>
  <sheetFormatPr defaultColWidth="9.140625" defaultRowHeight="12.75"/>
  <cols>
    <col min="1" max="1" width="4.28125" style="4" customWidth="1"/>
    <col min="2" max="2" width="31.7109375" style="95" customWidth="1"/>
    <col min="3" max="3" width="6.7109375" style="87" customWidth="1"/>
    <col min="4" max="4" width="16.140625" style="87" customWidth="1"/>
    <col min="5" max="5" width="20.00390625" style="87" customWidth="1"/>
    <col min="6" max="6" width="9.8515625" style="87" customWidth="1"/>
    <col min="7" max="7" width="18.28125" style="87" customWidth="1"/>
    <col min="8" max="8" width="14.421875" style="87" customWidth="1"/>
    <col min="9" max="9" width="8.28125" style="4" customWidth="1"/>
    <col min="10" max="10" width="10.28125" style="37" customWidth="1"/>
    <col min="11" max="11" width="19.28125" style="5" customWidth="1"/>
    <col min="12" max="12" width="18.57421875" style="5" customWidth="1"/>
    <col min="13" max="13" width="12.57421875" style="4" customWidth="1"/>
    <col min="14" max="14" width="12.140625" style="4" customWidth="1"/>
    <col min="15" max="15" width="11.57421875" style="4" customWidth="1"/>
    <col min="16" max="16" width="13.8515625" style="4" customWidth="1"/>
    <col min="17" max="16384" width="9.140625" style="5" customWidth="1"/>
  </cols>
  <sheetData>
    <row r="1" spans="1:15" s="31" customFormat="1" ht="14.25">
      <c r="A1" s="251"/>
      <c r="B1" s="241"/>
      <c r="C1" s="233"/>
      <c r="D1" s="233"/>
      <c r="E1" s="233"/>
      <c r="F1" s="233"/>
      <c r="G1" s="21"/>
      <c r="I1" s="9"/>
      <c r="J1" s="9"/>
      <c r="K1" s="30"/>
      <c r="L1" s="30"/>
      <c r="O1" s="23" t="s">
        <v>248</v>
      </c>
    </row>
    <row r="2" spans="1:16" s="262" customFormat="1" ht="17.25">
      <c r="A2" s="260"/>
      <c r="B2" s="1"/>
      <c r="C2" s="2"/>
      <c r="D2" s="2"/>
      <c r="E2" s="2"/>
      <c r="F2" s="3"/>
      <c r="G2" s="3"/>
      <c r="H2" s="3"/>
      <c r="I2" s="261"/>
      <c r="J2" s="270"/>
      <c r="O2" s="613" t="s">
        <v>11</v>
      </c>
      <c r="P2" s="613"/>
    </row>
    <row r="3" spans="1:11" s="262" customFormat="1" ht="18" thickBot="1">
      <c r="A3" s="31"/>
      <c r="B3" s="22" t="s">
        <v>385</v>
      </c>
      <c r="C3" s="269"/>
      <c r="D3" s="7"/>
      <c r="E3" s="7"/>
      <c r="F3" s="7"/>
      <c r="G3" s="8"/>
      <c r="H3" s="8"/>
      <c r="I3" s="271"/>
      <c r="J3" s="272"/>
      <c r="K3" s="273"/>
    </row>
    <row r="4" spans="1:16" s="46" customFormat="1" ht="13.5">
      <c r="A4" s="39"/>
      <c r="B4" s="108" t="s">
        <v>61</v>
      </c>
      <c r="C4" s="40"/>
      <c r="D4" s="40"/>
      <c r="E4" s="40"/>
      <c r="F4" s="40"/>
      <c r="G4" s="40"/>
      <c r="H4" s="40"/>
      <c r="I4" s="41"/>
      <c r="J4" s="42"/>
      <c r="K4" s="41"/>
      <c r="L4" s="41"/>
      <c r="M4" s="39"/>
      <c r="N4" s="43"/>
      <c r="O4" s="39"/>
      <c r="P4" s="39"/>
    </row>
    <row r="5" spans="1:16" s="46" customFormat="1" ht="13.5">
      <c r="A5" s="39"/>
      <c r="B5" s="108" t="s">
        <v>367</v>
      </c>
      <c r="C5" s="40"/>
      <c r="D5" s="40"/>
      <c r="E5" s="40"/>
      <c r="F5" s="40"/>
      <c r="G5" s="40"/>
      <c r="H5" s="40"/>
      <c r="I5" s="41"/>
      <c r="J5" s="42"/>
      <c r="K5" s="41"/>
      <c r="L5" s="41"/>
      <c r="M5" s="39"/>
      <c r="N5" s="39"/>
      <c r="O5" s="39"/>
      <c r="P5" s="39"/>
    </row>
    <row r="6" spans="1:16" s="15" customFormat="1" ht="12.75">
      <c r="A6" s="39"/>
      <c r="B6" s="44"/>
      <c r="C6" s="44"/>
      <c r="D6" s="44"/>
      <c r="E6" s="44"/>
      <c r="F6" s="44"/>
      <c r="G6" s="44"/>
      <c r="H6" s="44"/>
      <c r="I6" s="39"/>
      <c r="J6" s="45"/>
      <c r="K6" s="46"/>
      <c r="L6" s="46"/>
      <c r="M6" s="39"/>
      <c r="N6" s="39"/>
      <c r="O6" s="39"/>
      <c r="P6" s="39"/>
    </row>
    <row r="7" spans="1:16" s="15" customFormat="1" ht="14.25">
      <c r="A7" s="47"/>
      <c r="B7" s="48"/>
      <c r="C7" s="49"/>
      <c r="D7" s="50" t="s">
        <v>62</v>
      </c>
      <c r="E7" s="51"/>
      <c r="F7" s="51"/>
      <c r="G7" s="51"/>
      <c r="H7" s="52"/>
      <c r="I7" s="53" t="s">
        <v>63</v>
      </c>
      <c r="J7" s="54"/>
      <c r="K7" s="55"/>
      <c r="L7" s="55"/>
      <c r="M7" s="55"/>
      <c r="N7" s="56"/>
      <c r="O7" s="47"/>
      <c r="P7" s="47"/>
    </row>
    <row r="8" spans="1:16" ht="89.25">
      <c r="A8" s="57"/>
      <c r="B8" s="58"/>
      <c r="C8" s="59"/>
      <c r="D8" s="60" t="s">
        <v>64</v>
      </c>
      <c r="E8" s="60"/>
      <c r="F8" s="60" t="s">
        <v>65</v>
      </c>
      <c r="G8" s="60"/>
      <c r="H8" s="60" t="s">
        <v>66</v>
      </c>
      <c r="I8" s="619" t="s">
        <v>69</v>
      </c>
      <c r="J8" s="620"/>
      <c r="K8" s="61" t="s">
        <v>197</v>
      </c>
      <c r="L8" s="61" t="s">
        <v>196</v>
      </c>
      <c r="M8" s="61" t="s">
        <v>72</v>
      </c>
      <c r="N8" s="61" t="s">
        <v>73</v>
      </c>
      <c r="O8" s="62" t="s">
        <v>74</v>
      </c>
      <c r="P8" s="63" t="s">
        <v>75</v>
      </c>
    </row>
    <row r="9" spans="1:16" s="67" customFormat="1" ht="38.25">
      <c r="A9" s="64" t="s">
        <v>97</v>
      </c>
      <c r="B9" s="65" t="s">
        <v>76</v>
      </c>
      <c r="C9" s="64"/>
      <c r="D9" s="14" t="s">
        <v>67</v>
      </c>
      <c r="E9" s="14" t="s">
        <v>240</v>
      </c>
      <c r="F9" s="14" t="s">
        <v>67</v>
      </c>
      <c r="G9" s="14" t="s">
        <v>240</v>
      </c>
      <c r="H9" s="14" t="s">
        <v>68</v>
      </c>
      <c r="I9" s="14" t="s">
        <v>70</v>
      </c>
      <c r="J9" s="66" t="s">
        <v>71</v>
      </c>
      <c r="K9" s="14" t="s">
        <v>68</v>
      </c>
      <c r="L9" s="14" t="s">
        <v>68</v>
      </c>
      <c r="M9" s="14" t="s">
        <v>68</v>
      </c>
      <c r="N9" s="14" t="s">
        <v>68</v>
      </c>
      <c r="O9" s="14" t="s">
        <v>68</v>
      </c>
      <c r="P9" s="14" t="s">
        <v>68</v>
      </c>
    </row>
    <row r="10" spans="1:16" ht="13.5">
      <c r="A10" s="68">
        <v>1</v>
      </c>
      <c r="B10" s="24">
        <v>2</v>
      </c>
      <c r="C10" s="12">
        <v>3</v>
      </c>
      <c r="D10" s="12">
        <v>4</v>
      </c>
      <c r="E10" s="13">
        <v>5</v>
      </c>
      <c r="F10" s="13">
        <v>6</v>
      </c>
      <c r="G10" s="13">
        <v>7</v>
      </c>
      <c r="H10" s="13">
        <v>8</v>
      </c>
      <c r="I10" s="68">
        <v>9</v>
      </c>
      <c r="J10" s="69"/>
      <c r="K10" s="12">
        <v>11</v>
      </c>
      <c r="L10" s="12">
        <v>12</v>
      </c>
      <c r="M10" s="68">
        <v>13</v>
      </c>
      <c r="N10" s="68">
        <v>14</v>
      </c>
      <c r="O10" s="68">
        <v>15</v>
      </c>
      <c r="P10" s="68">
        <v>16</v>
      </c>
    </row>
    <row r="11" spans="1:16" ht="54">
      <c r="A11" s="68"/>
      <c r="B11" s="290" t="s">
        <v>201</v>
      </c>
      <c r="C11" s="12"/>
      <c r="D11" s="68" t="s">
        <v>1</v>
      </c>
      <c r="E11" s="277">
        <v>4000</v>
      </c>
      <c r="F11" s="68" t="s">
        <v>1</v>
      </c>
      <c r="G11" s="277">
        <v>4000</v>
      </c>
      <c r="H11" s="68" t="s">
        <v>1</v>
      </c>
      <c r="I11" s="68" t="s">
        <v>1</v>
      </c>
      <c r="J11" s="69" t="s">
        <v>1</v>
      </c>
      <c r="K11" s="68" t="s">
        <v>1</v>
      </c>
      <c r="L11" s="68" t="s">
        <v>1</v>
      </c>
      <c r="M11" s="68" t="s">
        <v>1</v>
      </c>
      <c r="N11" s="68" t="s">
        <v>1</v>
      </c>
      <c r="O11" s="68" t="s">
        <v>1</v>
      </c>
      <c r="P11" s="68" t="s">
        <v>1</v>
      </c>
    </row>
    <row r="12" spans="1:16" ht="27">
      <c r="A12" s="68">
        <v>1</v>
      </c>
      <c r="B12" s="71" t="s">
        <v>77</v>
      </c>
      <c r="C12" s="275">
        <v>91</v>
      </c>
      <c r="D12" s="68" t="s">
        <v>1</v>
      </c>
      <c r="E12" s="68" t="s">
        <v>1</v>
      </c>
      <c r="F12" s="68" t="s">
        <v>1</v>
      </c>
      <c r="G12" s="68" t="s">
        <v>1</v>
      </c>
      <c r="H12" s="68" t="s">
        <v>1</v>
      </c>
      <c r="I12" s="68" t="s">
        <v>1</v>
      </c>
      <c r="J12" s="69" t="s">
        <v>1</v>
      </c>
      <c r="K12" s="68" t="s">
        <v>1</v>
      </c>
      <c r="L12" s="68" t="s">
        <v>1</v>
      </c>
      <c r="M12" s="68" t="s">
        <v>1</v>
      </c>
      <c r="N12" s="68" t="s">
        <v>1</v>
      </c>
      <c r="O12" s="72">
        <v>200000</v>
      </c>
      <c r="P12" s="72">
        <f>O12</f>
        <v>200000</v>
      </c>
    </row>
    <row r="13" spans="1:16" s="279" customFormat="1" ht="13.5">
      <c r="A13" s="283">
        <v>2</v>
      </c>
      <c r="B13" s="291" t="s">
        <v>78</v>
      </c>
      <c r="C13" s="292">
        <v>1</v>
      </c>
      <c r="D13" s="280">
        <v>1</v>
      </c>
      <c r="E13" s="294">
        <v>48000</v>
      </c>
      <c r="F13" s="294"/>
      <c r="G13" s="294">
        <f>F13*12*$G$11</f>
        <v>0</v>
      </c>
      <c r="H13" s="294">
        <f>E13+G13</f>
        <v>48000</v>
      </c>
      <c r="I13" s="282">
        <v>4000</v>
      </c>
      <c r="J13" s="293">
        <f aca="true" t="shared" si="0" ref="J13:J28">(I13-360)*4.17</f>
        <v>15178.8</v>
      </c>
      <c r="K13" s="281">
        <v>15000</v>
      </c>
      <c r="L13" s="281">
        <v>10000</v>
      </c>
      <c r="M13" s="281">
        <f aca="true" t="shared" si="1" ref="M13:M28">J13+K13+L13</f>
        <v>40178.8</v>
      </c>
      <c r="N13" s="281">
        <f>M13*C13*12</f>
        <v>482145.60000000003</v>
      </c>
      <c r="O13" s="281" t="s">
        <v>1</v>
      </c>
      <c r="P13" s="281">
        <f>H13+N13</f>
        <v>530145.6000000001</v>
      </c>
    </row>
    <row r="14" spans="1:16" ht="13.5">
      <c r="A14" s="68">
        <v>3</v>
      </c>
      <c r="B14" s="71" t="s">
        <v>79</v>
      </c>
      <c r="C14" s="12">
        <v>3</v>
      </c>
      <c r="D14" s="12">
        <v>3</v>
      </c>
      <c r="E14" s="276">
        <f>D14*12*$E$11</f>
        <v>144000</v>
      </c>
      <c r="F14" s="12"/>
      <c r="G14" s="276">
        <f>F14*12*$G$11</f>
        <v>0</v>
      </c>
      <c r="H14" s="73">
        <f>E14+G14</f>
        <v>144000</v>
      </c>
      <c r="I14" s="68">
        <v>4000</v>
      </c>
      <c r="J14" s="75">
        <f t="shared" si="0"/>
        <v>15178.8</v>
      </c>
      <c r="K14" s="72">
        <v>15000</v>
      </c>
      <c r="L14" s="72">
        <v>10000</v>
      </c>
      <c r="M14" s="72">
        <f t="shared" si="1"/>
        <v>40178.8</v>
      </c>
      <c r="N14" s="72">
        <f aca="true" t="shared" si="2" ref="N14:N28">M14*C14*12</f>
        <v>1446436.8</v>
      </c>
      <c r="O14" s="72" t="s">
        <v>1</v>
      </c>
      <c r="P14" s="72">
        <f>H14+N14</f>
        <v>1590436.8</v>
      </c>
    </row>
    <row r="15" spans="1:16" ht="13.5">
      <c r="A15" s="68">
        <v>4</v>
      </c>
      <c r="B15" s="71" t="s">
        <v>80</v>
      </c>
      <c r="C15" s="12">
        <v>1</v>
      </c>
      <c r="D15" s="12" t="s">
        <v>1</v>
      </c>
      <c r="E15" s="12" t="s">
        <v>1</v>
      </c>
      <c r="F15" s="12" t="s">
        <v>1</v>
      </c>
      <c r="G15" s="12" t="s">
        <v>1</v>
      </c>
      <c r="H15" s="12" t="s">
        <v>1</v>
      </c>
      <c r="I15" s="68">
        <v>2000</v>
      </c>
      <c r="J15" s="75">
        <f t="shared" si="0"/>
        <v>6838.8</v>
      </c>
      <c r="K15" s="72">
        <v>5000</v>
      </c>
      <c r="L15" s="72"/>
      <c r="M15" s="72">
        <f t="shared" si="1"/>
        <v>11838.8</v>
      </c>
      <c r="N15" s="72">
        <f t="shared" si="2"/>
        <v>142065.59999999998</v>
      </c>
      <c r="O15" s="72" t="s">
        <v>1</v>
      </c>
      <c r="P15" s="72">
        <f>N15</f>
        <v>142065.59999999998</v>
      </c>
    </row>
    <row r="16" spans="1:16" ht="13.5">
      <c r="A16" s="68">
        <v>5</v>
      </c>
      <c r="B16" s="71" t="s">
        <v>81</v>
      </c>
      <c r="C16" s="12">
        <v>3</v>
      </c>
      <c r="D16" s="12" t="s">
        <v>1</v>
      </c>
      <c r="E16" s="12" t="s">
        <v>1</v>
      </c>
      <c r="F16" s="12" t="s">
        <v>1</v>
      </c>
      <c r="G16" s="12" t="s">
        <v>1</v>
      </c>
      <c r="H16" s="12" t="s">
        <v>1</v>
      </c>
      <c r="I16" s="68">
        <v>2000</v>
      </c>
      <c r="J16" s="75">
        <f t="shared" si="0"/>
        <v>6838.8</v>
      </c>
      <c r="K16" s="72">
        <v>5000</v>
      </c>
      <c r="L16" s="72"/>
      <c r="M16" s="72">
        <f t="shared" si="1"/>
        <v>11838.8</v>
      </c>
      <c r="N16" s="72">
        <f t="shared" si="2"/>
        <v>426196.79999999993</v>
      </c>
      <c r="O16" s="72" t="s">
        <v>1</v>
      </c>
      <c r="P16" s="72">
        <f>N16</f>
        <v>426196.79999999993</v>
      </c>
    </row>
    <row r="17" spans="1:16" ht="13.5">
      <c r="A17" s="68">
        <v>6</v>
      </c>
      <c r="B17" s="71" t="s">
        <v>82</v>
      </c>
      <c r="C17" s="12"/>
      <c r="D17" s="12" t="s">
        <v>1</v>
      </c>
      <c r="E17" s="12" t="s">
        <v>1</v>
      </c>
      <c r="F17" s="12" t="s">
        <v>1</v>
      </c>
      <c r="G17" s="12" t="s">
        <v>1</v>
      </c>
      <c r="H17" s="12" t="s">
        <v>1</v>
      </c>
      <c r="I17" s="68">
        <v>5000</v>
      </c>
      <c r="J17" s="75">
        <f t="shared" si="0"/>
        <v>19348.8</v>
      </c>
      <c r="K17" s="72">
        <v>10000</v>
      </c>
      <c r="L17" s="72"/>
      <c r="M17" s="72">
        <f t="shared" si="1"/>
        <v>29348.8</v>
      </c>
      <c r="N17" s="72">
        <f t="shared" si="2"/>
        <v>0</v>
      </c>
      <c r="O17" s="72" t="s">
        <v>1</v>
      </c>
      <c r="P17" s="72">
        <f>N17</f>
        <v>0</v>
      </c>
    </row>
    <row r="18" spans="1:16" ht="13.5">
      <c r="A18" s="68">
        <v>7</v>
      </c>
      <c r="B18" s="71" t="s">
        <v>83</v>
      </c>
      <c r="C18" s="12">
        <v>1</v>
      </c>
      <c r="D18" s="12">
        <v>1</v>
      </c>
      <c r="E18" s="276">
        <f>D18*12*$E$11</f>
        <v>48000</v>
      </c>
      <c r="F18" s="12"/>
      <c r="G18" s="276">
        <f>F18*12*$G$11</f>
        <v>0</v>
      </c>
      <c r="H18" s="73">
        <f>E18+G18</f>
        <v>48000</v>
      </c>
      <c r="I18" s="68">
        <v>4000</v>
      </c>
      <c r="J18" s="75">
        <f t="shared" si="0"/>
        <v>15178.8</v>
      </c>
      <c r="K18" s="72">
        <v>15000</v>
      </c>
      <c r="L18" s="72">
        <v>10000</v>
      </c>
      <c r="M18" s="72">
        <f t="shared" si="1"/>
        <v>40178.8</v>
      </c>
      <c r="N18" s="72">
        <f t="shared" si="2"/>
        <v>482145.60000000003</v>
      </c>
      <c r="O18" s="72" t="s">
        <v>1</v>
      </c>
      <c r="P18" s="72">
        <f>H18+N18</f>
        <v>530145.6000000001</v>
      </c>
    </row>
    <row r="19" spans="1:16" ht="27">
      <c r="A19" s="68">
        <v>8</v>
      </c>
      <c r="B19" s="71" t="s">
        <v>84</v>
      </c>
      <c r="C19" s="12"/>
      <c r="D19" s="12" t="s">
        <v>1</v>
      </c>
      <c r="E19" s="12" t="s">
        <v>1</v>
      </c>
      <c r="F19" s="12" t="s">
        <v>1</v>
      </c>
      <c r="G19" s="12" t="s">
        <v>1</v>
      </c>
      <c r="H19" s="12" t="s">
        <v>1</v>
      </c>
      <c r="I19" s="68">
        <v>2000</v>
      </c>
      <c r="J19" s="75">
        <f t="shared" si="0"/>
        <v>6838.8</v>
      </c>
      <c r="K19" s="72">
        <v>5000</v>
      </c>
      <c r="L19" s="72"/>
      <c r="M19" s="72">
        <f t="shared" si="1"/>
        <v>11838.8</v>
      </c>
      <c r="N19" s="72">
        <f t="shared" si="2"/>
        <v>0</v>
      </c>
      <c r="O19" s="72" t="s">
        <v>1</v>
      </c>
      <c r="P19" s="72">
        <f>N19</f>
        <v>0</v>
      </c>
    </row>
    <row r="20" spans="1:16" s="451" customFormat="1" ht="27">
      <c r="A20" s="444">
        <v>9</v>
      </c>
      <c r="B20" s="445" t="s">
        <v>85</v>
      </c>
      <c r="C20" s="446"/>
      <c r="D20" s="446"/>
      <c r="E20" s="447">
        <f>D20*12*$E$11</f>
        <v>0</v>
      </c>
      <c r="F20" s="446"/>
      <c r="G20" s="447">
        <f>F20*12*$G$11</f>
        <v>0</v>
      </c>
      <c r="H20" s="448">
        <f>E20+G20</f>
        <v>0</v>
      </c>
      <c r="I20" s="444">
        <v>4000</v>
      </c>
      <c r="J20" s="449">
        <f t="shared" si="0"/>
        <v>15178.8</v>
      </c>
      <c r="K20" s="450">
        <v>10000</v>
      </c>
      <c r="L20" s="450">
        <v>5000</v>
      </c>
      <c r="M20" s="450">
        <f t="shared" si="1"/>
        <v>30178.8</v>
      </c>
      <c r="N20" s="450">
        <f t="shared" si="2"/>
        <v>0</v>
      </c>
      <c r="O20" s="450" t="s">
        <v>1</v>
      </c>
      <c r="P20" s="450">
        <f>H20+N20</f>
        <v>0</v>
      </c>
    </row>
    <row r="21" spans="1:16" ht="40.5">
      <c r="A21" s="68">
        <v>10</v>
      </c>
      <c r="B21" s="71" t="s">
        <v>86</v>
      </c>
      <c r="C21" s="12">
        <v>2</v>
      </c>
      <c r="D21" s="12">
        <v>2</v>
      </c>
      <c r="E21" s="276">
        <f>D21*12*$E$11</f>
        <v>96000</v>
      </c>
      <c r="F21" s="12"/>
      <c r="G21" s="276">
        <f>F21*12*$G$11</f>
        <v>0</v>
      </c>
      <c r="H21" s="73">
        <f>E21+G21</f>
        <v>96000</v>
      </c>
      <c r="I21" s="68">
        <v>3000</v>
      </c>
      <c r="J21" s="75">
        <f t="shared" si="0"/>
        <v>11008.8</v>
      </c>
      <c r="K21" s="72">
        <v>8000</v>
      </c>
      <c r="L21" s="72">
        <v>4000</v>
      </c>
      <c r="M21" s="72">
        <f>J21+K21+L21</f>
        <v>23008.8</v>
      </c>
      <c r="N21" s="72">
        <f t="shared" si="2"/>
        <v>552211.2</v>
      </c>
      <c r="O21" s="72" t="s">
        <v>1</v>
      </c>
      <c r="P21" s="72">
        <f>H21+N21</f>
        <v>648211.2</v>
      </c>
    </row>
    <row r="22" spans="1:16" ht="27">
      <c r="A22" s="68">
        <v>11</v>
      </c>
      <c r="B22" s="71" t="s">
        <v>87</v>
      </c>
      <c r="C22" s="12"/>
      <c r="D22" s="12" t="s">
        <v>1</v>
      </c>
      <c r="E22" s="12" t="s">
        <v>1</v>
      </c>
      <c r="F22" s="12" t="s">
        <v>1</v>
      </c>
      <c r="G22" s="12" t="s">
        <v>1</v>
      </c>
      <c r="H22" s="12" t="s">
        <v>1</v>
      </c>
      <c r="I22" s="68">
        <v>4000</v>
      </c>
      <c r="J22" s="75">
        <f t="shared" si="0"/>
        <v>15178.8</v>
      </c>
      <c r="K22" s="72">
        <v>5000</v>
      </c>
      <c r="L22" s="72"/>
      <c r="M22" s="72">
        <f t="shared" si="1"/>
        <v>20178.8</v>
      </c>
      <c r="N22" s="72">
        <f t="shared" si="2"/>
        <v>0</v>
      </c>
      <c r="O22" s="72" t="s">
        <v>1</v>
      </c>
      <c r="P22" s="72">
        <f aca="true" t="shared" si="3" ref="P22:P28">N22</f>
        <v>0</v>
      </c>
    </row>
    <row r="23" spans="1:16" ht="40.5">
      <c r="A23" s="68">
        <v>12</v>
      </c>
      <c r="B23" s="71" t="s">
        <v>88</v>
      </c>
      <c r="C23" s="12">
        <v>10</v>
      </c>
      <c r="D23" s="12" t="s">
        <v>1</v>
      </c>
      <c r="E23" s="12" t="s">
        <v>1</v>
      </c>
      <c r="F23" s="12" t="s">
        <v>1</v>
      </c>
      <c r="G23" s="12" t="s">
        <v>1</v>
      </c>
      <c r="H23" s="12" t="s">
        <v>1</v>
      </c>
      <c r="I23" s="68">
        <v>3000</v>
      </c>
      <c r="J23" s="75">
        <f t="shared" si="0"/>
        <v>11008.8</v>
      </c>
      <c r="K23" s="72">
        <v>4000</v>
      </c>
      <c r="L23" s="72"/>
      <c r="M23" s="72">
        <f t="shared" si="1"/>
        <v>15008.8</v>
      </c>
      <c r="N23" s="72">
        <f t="shared" si="2"/>
        <v>1801056</v>
      </c>
      <c r="O23" s="72" t="s">
        <v>1</v>
      </c>
      <c r="P23" s="72">
        <f t="shared" si="3"/>
        <v>1801056</v>
      </c>
    </row>
    <row r="24" spans="1:16" ht="27">
      <c r="A24" s="68">
        <v>13</v>
      </c>
      <c r="B24" s="71" t="s">
        <v>89</v>
      </c>
      <c r="C24" s="295">
        <v>15</v>
      </c>
      <c r="D24" s="12" t="s">
        <v>1</v>
      </c>
      <c r="E24" s="12" t="s">
        <v>1</v>
      </c>
      <c r="F24" s="12" t="s">
        <v>1</v>
      </c>
      <c r="G24" s="12" t="s">
        <v>1</v>
      </c>
      <c r="H24" s="12" t="s">
        <v>1</v>
      </c>
      <c r="I24" s="68">
        <v>3000</v>
      </c>
      <c r="J24" s="75">
        <f t="shared" si="0"/>
        <v>11008.8</v>
      </c>
      <c r="K24" s="72">
        <v>5000</v>
      </c>
      <c r="L24" s="72"/>
      <c r="M24" s="72">
        <f t="shared" si="1"/>
        <v>16008.8</v>
      </c>
      <c r="N24" s="72">
        <f>M24*C24*12</f>
        <v>2881584</v>
      </c>
      <c r="O24" s="72" t="s">
        <v>1</v>
      </c>
      <c r="P24" s="72">
        <f t="shared" si="3"/>
        <v>2881584</v>
      </c>
    </row>
    <row r="25" spans="1:16" ht="27">
      <c r="A25" s="68">
        <v>14</v>
      </c>
      <c r="B25" s="71" t="s">
        <v>90</v>
      </c>
      <c r="C25" s="12"/>
      <c r="D25" s="12" t="s">
        <v>1</v>
      </c>
      <c r="E25" s="12" t="s">
        <v>1</v>
      </c>
      <c r="F25" s="12" t="s">
        <v>1</v>
      </c>
      <c r="G25" s="12" t="s">
        <v>1</v>
      </c>
      <c r="H25" s="12" t="s">
        <v>1</v>
      </c>
      <c r="I25" s="68">
        <v>5000</v>
      </c>
      <c r="J25" s="75">
        <f t="shared" si="0"/>
        <v>19348.8</v>
      </c>
      <c r="K25" s="72">
        <v>10000</v>
      </c>
      <c r="L25" s="72">
        <v>100000</v>
      </c>
      <c r="M25" s="72">
        <f>J25+K25+L25</f>
        <v>129348.8</v>
      </c>
      <c r="N25" s="72">
        <f>M25*C25*12</f>
        <v>0</v>
      </c>
      <c r="O25" s="72" t="s">
        <v>1</v>
      </c>
      <c r="P25" s="72">
        <f>N25</f>
        <v>0</v>
      </c>
    </row>
    <row r="26" spans="1:16" ht="27">
      <c r="A26" s="68">
        <v>15</v>
      </c>
      <c r="B26" s="71" t="s">
        <v>91</v>
      </c>
      <c r="C26" s="12">
        <v>1</v>
      </c>
      <c r="D26" s="12" t="s">
        <v>1</v>
      </c>
      <c r="E26" s="12" t="s">
        <v>1</v>
      </c>
      <c r="F26" s="12" t="s">
        <v>1</v>
      </c>
      <c r="G26" s="12" t="s">
        <v>1</v>
      </c>
      <c r="H26" s="12" t="s">
        <v>1</v>
      </c>
      <c r="I26" s="68">
        <v>5000</v>
      </c>
      <c r="J26" s="75">
        <f t="shared" si="0"/>
        <v>19348.8</v>
      </c>
      <c r="K26" s="72"/>
      <c r="L26" s="72"/>
      <c r="M26" s="72">
        <f t="shared" si="1"/>
        <v>19348.8</v>
      </c>
      <c r="N26" s="72">
        <f t="shared" si="2"/>
        <v>232185.59999999998</v>
      </c>
      <c r="O26" s="72" t="s">
        <v>1</v>
      </c>
      <c r="P26" s="72">
        <f t="shared" si="3"/>
        <v>232185.59999999998</v>
      </c>
    </row>
    <row r="27" spans="1:16" ht="13.5">
      <c r="A27" s="68">
        <v>16</v>
      </c>
      <c r="B27" s="71" t="s">
        <v>92</v>
      </c>
      <c r="C27" s="12"/>
      <c r="D27" s="12" t="s">
        <v>1</v>
      </c>
      <c r="E27" s="12" t="s">
        <v>1</v>
      </c>
      <c r="F27" s="12" t="s">
        <v>1</v>
      </c>
      <c r="G27" s="12" t="s">
        <v>1</v>
      </c>
      <c r="H27" s="12" t="s">
        <v>1</v>
      </c>
      <c r="I27" s="68">
        <v>3000</v>
      </c>
      <c r="J27" s="75">
        <f t="shared" si="0"/>
        <v>11008.8</v>
      </c>
      <c r="K27" s="72"/>
      <c r="L27" s="72"/>
      <c r="M27" s="72">
        <f t="shared" si="1"/>
        <v>11008.8</v>
      </c>
      <c r="N27" s="72">
        <f t="shared" si="2"/>
        <v>0</v>
      </c>
      <c r="O27" s="72" t="s">
        <v>1</v>
      </c>
      <c r="P27" s="72">
        <f t="shared" si="3"/>
        <v>0</v>
      </c>
    </row>
    <row r="28" spans="1:16" ht="13.5">
      <c r="A28" s="68">
        <v>17</v>
      </c>
      <c r="B28" s="71" t="s">
        <v>93</v>
      </c>
      <c r="C28" s="12"/>
      <c r="D28" s="77" t="s">
        <v>1</v>
      </c>
      <c r="E28" s="78" t="s">
        <v>1</v>
      </c>
      <c r="F28" s="77" t="s">
        <v>1</v>
      </c>
      <c r="G28" s="78" t="s">
        <v>1</v>
      </c>
      <c r="H28" s="78" t="s">
        <v>1</v>
      </c>
      <c r="I28" s="68">
        <v>10000</v>
      </c>
      <c r="J28" s="75">
        <f t="shared" si="0"/>
        <v>40198.8</v>
      </c>
      <c r="K28" s="72">
        <v>20000</v>
      </c>
      <c r="L28" s="72">
        <v>50000</v>
      </c>
      <c r="M28" s="72">
        <f t="shared" si="1"/>
        <v>110198.8</v>
      </c>
      <c r="N28" s="72">
        <f t="shared" si="2"/>
        <v>0</v>
      </c>
      <c r="O28" s="72" t="s">
        <v>1</v>
      </c>
      <c r="P28" s="72">
        <f t="shared" si="3"/>
        <v>0</v>
      </c>
    </row>
    <row r="29" spans="1:16" ht="27">
      <c r="A29" s="68"/>
      <c r="B29" s="71" t="s">
        <v>94</v>
      </c>
      <c r="C29" s="12">
        <v>12</v>
      </c>
      <c r="D29" s="77" t="s">
        <v>1</v>
      </c>
      <c r="E29" s="77" t="s">
        <v>1</v>
      </c>
      <c r="F29" s="77" t="s">
        <v>1</v>
      </c>
      <c r="G29" s="77" t="s">
        <v>1</v>
      </c>
      <c r="H29" s="77" t="s">
        <v>1</v>
      </c>
      <c r="I29" s="77" t="s">
        <v>1</v>
      </c>
      <c r="J29" s="69" t="s">
        <v>1</v>
      </c>
      <c r="K29" s="77" t="s">
        <v>1</v>
      </c>
      <c r="L29" s="77" t="s">
        <v>1</v>
      </c>
      <c r="M29" s="79" t="s">
        <v>1</v>
      </c>
      <c r="N29" s="79" t="s">
        <v>1</v>
      </c>
      <c r="O29" s="79" t="s">
        <v>1</v>
      </c>
      <c r="P29" s="79" t="s">
        <v>1</v>
      </c>
    </row>
    <row r="30" spans="1:16" s="451" customFormat="1" ht="54">
      <c r="A30" s="444">
        <v>18</v>
      </c>
      <c r="B30" s="445" t="s">
        <v>95</v>
      </c>
      <c r="C30" s="452">
        <f>+(C12-C13-C14-C18-C20-C21-C29)/4</f>
        <v>18</v>
      </c>
      <c r="D30" s="452">
        <f>+C30-F30</f>
        <v>18</v>
      </c>
      <c r="E30" s="447">
        <f>D30*12*$E$11</f>
        <v>864000</v>
      </c>
      <c r="F30" s="452"/>
      <c r="G30" s="447">
        <f>F30*12*$G$11</f>
        <v>0</v>
      </c>
      <c r="H30" s="448">
        <f>E30+G30</f>
        <v>864000</v>
      </c>
      <c r="I30" s="444" t="s">
        <v>1</v>
      </c>
      <c r="J30" s="449"/>
      <c r="K30" s="450" t="s">
        <v>1</v>
      </c>
      <c r="L30" s="450" t="s">
        <v>1</v>
      </c>
      <c r="M30" s="450" t="s">
        <v>1</v>
      </c>
      <c r="N30" s="450" t="s">
        <v>1</v>
      </c>
      <c r="O30" s="450" t="s">
        <v>1</v>
      </c>
      <c r="P30" s="450">
        <f>H30</f>
        <v>864000</v>
      </c>
    </row>
    <row r="31" spans="1:16" s="85" customFormat="1" ht="33">
      <c r="A31" s="80"/>
      <c r="B31" s="328" t="s">
        <v>241</v>
      </c>
      <c r="C31" s="81"/>
      <c r="D31" s="82"/>
      <c r="E31" s="82"/>
      <c r="F31" s="82"/>
      <c r="G31" s="82"/>
      <c r="H31" s="82"/>
      <c r="I31" s="80"/>
      <c r="J31" s="83"/>
      <c r="K31" s="84"/>
      <c r="L31" s="84"/>
      <c r="M31" s="84"/>
      <c r="N31" s="84">
        <f>SUM(N13:N30)*1.2</f>
        <v>10135232.639999999</v>
      </c>
      <c r="O31" s="84"/>
      <c r="P31" s="84">
        <f>SUM(P12:P30)*1.2-N31+N31*0.3</f>
        <v>4720569.792000001</v>
      </c>
    </row>
    <row r="32" spans="1:16" ht="13.5">
      <c r="A32" s="68"/>
      <c r="B32" s="71"/>
      <c r="C32" s="12"/>
      <c r="D32" s="12"/>
      <c r="E32" s="73"/>
      <c r="F32" s="12"/>
      <c r="G32" s="13"/>
      <c r="H32" s="73"/>
      <c r="I32" s="68"/>
      <c r="J32" s="69"/>
      <c r="K32" s="72"/>
      <c r="L32" s="72"/>
      <c r="M32" s="72"/>
      <c r="N32" s="72"/>
      <c r="O32" s="72"/>
      <c r="P32" s="72"/>
    </row>
    <row r="33" spans="1:16" ht="13.5">
      <c r="A33" s="68">
        <v>19</v>
      </c>
      <c r="B33" s="327" t="s">
        <v>239</v>
      </c>
      <c r="C33" s="12" t="s">
        <v>1</v>
      </c>
      <c r="D33" s="12" t="s">
        <v>1</v>
      </c>
      <c r="E33" s="12" t="s">
        <v>1</v>
      </c>
      <c r="F33" s="12" t="s">
        <v>1</v>
      </c>
      <c r="G33" s="12" t="s">
        <v>1</v>
      </c>
      <c r="H33" s="12" t="s">
        <v>1</v>
      </c>
      <c r="I33" s="12" t="s">
        <v>1</v>
      </c>
      <c r="J33" s="70" t="s">
        <v>1</v>
      </c>
      <c r="K33" s="12" t="s">
        <v>1</v>
      </c>
      <c r="L33" s="12" t="s">
        <v>1</v>
      </c>
      <c r="M33" s="78" t="s">
        <v>1</v>
      </c>
      <c r="N33" s="78" t="s">
        <v>1</v>
      </c>
      <c r="O33" s="78" t="s">
        <v>1</v>
      </c>
      <c r="P33" s="72">
        <f>SUM(P34:P38)</f>
        <v>816000</v>
      </c>
    </row>
    <row r="34" spans="1:16" ht="40.5">
      <c r="A34" s="68">
        <v>1</v>
      </c>
      <c r="B34" s="86" t="s">
        <v>383</v>
      </c>
      <c r="C34" s="12" t="s">
        <v>1</v>
      </c>
      <c r="D34" s="12" t="s">
        <v>1</v>
      </c>
      <c r="E34" s="12" t="s">
        <v>1</v>
      </c>
      <c r="F34" s="12" t="s">
        <v>1</v>
      </c>
      <c r="G34" s="12" t="s">
        <v>1</v>
      </c>
      <c r="H34" s="12" t="s">
        <v>1</v>
      </c>
      <c r="I34" s="12" t="s">
        <v>1</v>
      </c>
      <c r="J34" s="70" t="s">
        <v>1</v>
      </c>
      <c r="K34" s="12" t="s">
        <v>1</v>
      </c>
      <c r="L34" s="12" t="s">
        <v>1</v>
      </c>
      <c r="M34" s="78" t="s">
        <v>1</v>
      </c>
      <c r="N34" s="78" t="s">
        <v>1</v>
      </c>
      <c r="O34" s="78" t="s">
        <v>1</v>
      </c>
      <c r="P34" s="72">
        <v>576000</v>
      </c>
    </row>
    <row r="35" spans="1:16" ht="54">
      <c r="A35" s="68">
        <v>2</v>
      </c>
      <c r="B35" s="86" t="s">
        <v>384</v>
      </c>
      <c r="C35" s="12" t="s">
        <v>1</v>
      </c>
      <c r="D35" s="12" t="s">
        <v>1</v>
      </c>
      <c r="E35" s="12" t="s">
        <v>1</v>
      </c>
      <c r="F35" s="12" t="s">
        <v>1</v>
      </c>
      <c r="G35" s="12" t="s">
        <v>1</v>
      </c>
      <c r="H35" s="12" t="s">
        <v>1</v>
      </c>
      <c r="I35" s="12" t="s">
        <v>1</v>
      </c>
      <c r="J35" s="70" t="s">
        <v>1</v>
      </c>
      <c r="K35" s="12" t="s">
        <v>1</v>
      </c>
      <c r="L35" s="12" t="s">
        <v>1</v>
      </c>
      <c r="M35" s="78" t="s">
        <v>1</v>
      </c>
      <c r="N35" s="78" t="s">
        <v>1</v>
      </c>
      <c r="O35" s="78" t="s">
        <v>1</v>
      </c>
      <c r="P35" s="72">
        <v>240000</v>
      </c>
    </row>
    <row r="36" spans="1:16" ht="13.5">
      <c r="A36" s="68">
        <v>3</v>
      </c>
      <c r="B36" s="86"/>
      <c r="C36" s="12" t="s">
        <v>1</v>
      </c>
      <c r="D36" s="12" t="s">
        <v>1</v>
      </c>
      <c r="E36" s="12" t="s">
        <v>1</v>
      </c>
      <c r="F36" s="12" t="s">
        <v>1</v>
      </c>
      <c r="G36" s="12" t="s">
        <v>1</v>
      </c>
      <c r="H36" s="12" t="s">
        <v>1</v>
      </c>
      <c r="I36" s="12" t="s">
        <v>1</v>
      </c>
      <c r="J36" s="70" t="s">
        <v>1</v>
      </c>
      <c r="K36" s="12" t="s">
        <v>1</v>
      </c>
      <c r="L36" s="12" t="s">
        <v>1</v>
      </c>
      <c r="M36" s="78" t="s">
        <v>1</v>
      </c>
      <c r="N36" s="78" t="s">
        <v>1</v>
      </c>
      <c r="O36" s="78" t="s">
        <v>1</v>
      </c>
      <c r="P36" s="72"/>
    </row>
    <row r="37" spans="1:16" ht="13.5">
      <c r="A37" s="68">
        <v>4</v>
      </c>
      <c r="B37" s="86"/>
      <c r="C37" s="12" t="s">
        <v>1</v>
      </c>
      <c r="D37" s="12" t="s">
        <v>1</v>
      </c>
      <c r="E37" s="12" t="s">
        <v>1</v>
      </c>
      <c r="F37" s="12" t="s">
        <v>1</v>
      </c>
      <c r="G37" s="12" t="s">
        <v>1</v>
      </c>
      <c r="H37" s="12" t="s">
        <v>1</v>
      </c>
      <c r="I37" s="12" t="s">
        <v>1</v>
      </c>
      <c r="J37" s="70" t="s">
        <v>1</v>
      </c>
      <c r="K37" s="12" t="s">
        <v>1</v>
      </c>
      <c r="L37" s="12" t="s">
        <v>1</v>
      </c>
      <c r="M37" s="78" t="s">
        <v>1</v>
      </c>
      <c r="N37" s="78" t="s">
        <v>1</v>
      </c>
      <c r="O37" s="78" t="s">
        <v>1</v>
      </c>
      <c r="P37" s="72"/>
    </row>
    <row r="38" spans="1:16" ht="13.5">
      <c r="A38" s="68" t="s">
        <v>200</v>
      </c>
      <c r="B38" s="86"/>
      <c r="C38" s="12" t="s">
        <v>1</v>
      </c>
      <c r="D38" s="12" t="s">
        <v>1</v>
      </c>
      <c r="E38" s="12" t="s">
        <v>1</v>
      </c>
      <c r="F38" s="12" t="s">
        <v>1</v>
      </c>
      <c r="G38" s="12" t="s">
        <v>1</v>
      </c>
      <c r="H38" s="12" t="s">
        <v>1</v>
      </c>
      <c r="I38" s="12" t="s">
        <v>1</v>
      </c>
      <c r="J38" s="70" t="s">
        <v>1</v>
      </c>
      <c r="K38" s="12" t="s">
        <v>1</v>
      </c>
      <c r="L38" s="12" t="s">
        <v>1</v>
      </c>
      <c r="M38" s="78" t="s">
        <v>1</v>
      </c>
      <c r="N38" s="78" t="s">
        <v>1</v>
      </c>
      <c r="O38" s="78" t="s">
        <v>1</v>
      </c>
      <c r="P38" s="72"/>
    </row>
    <row r="39" spans="1:16" s="289" customFormat="1" ht="18" thickBot="1">
      <c r="A39" s="284"/>
      <c r="B39" s="285" t="s">
        <v>96</v>
      </c>
      <c r="C39" s="286" t="s">
        <v>1</v>
      </c>
      <c r="D39" s="286" t="s">
        <v>1</v>
      </c>
      <c r="E39" s="286" t="s">
        <v>1</v>
      </c>
      <c r="F39" s="286" t="s">
        <v>1</v>
      </c>
      <c r="G39" s="286" t="s">
        <v>1</v>
      </c>
      <c r="H39" s="286" t="s">
        <v>1</v>
      </c>
      <c r="I39" s="286" t="s">
        <v>1</v>
      </c>
      <c r="J39" s="287" t="s">
        <v>1</v>
      </c>
      <c r="K39" s="286" t="s">
        <v>1</v>
      </c>
      <c r="L39" s="286" t="s">
        <v>1</v>
      </c>
      <c r="M39" s="288" t="s">
        <v>1</v>
      </c>
      <c r="N39" s="288" t="s">
        <v>1</v>
      </c>
      <c r="O39" s="288" t="s">
        <v>1</v>
      </c>
      <c r="P39" s="288">
        <f>P31+P33</f>
        <v>5536569.792000001</v>
      </c>
    </row>
    <row r="40" spans="2:16" ht="18" thickBot="1">
      <c r="B40" s="88"/>
      <c r="C40" s="89"/>
      <c r="D40" s="89"/>
      <c r="E40" s="89"/>
      <c r="F40" s="89"/>
      <c r="G40" s="89"/>
      <c r="H40" s="89"/>
      <c r="I40" s="90"/>
      <c r="J40" s="91"/>
      <c r="K40" s="90"/>
      <c r="L40" s="90"/>
      <c r="M40" s="92"/>
      <c r="N40" s="92"/>
      <c r="O40" s="92"/>
      <c r="P40" s="93">
        <f>P39/1000</f>
        <v>5536.569792000001</v>
      </c>
    </row>
    <row r="41" spans="2:8" ht="13.5">
      <c r="B41" s="94"/>
      <c r="C41" s="89"/>
      <c r="D41" s="89"/>
      <c r="E41" s="89"/>
      <c r="F41" s="89"/>
      <c r="G41" s="89"/>
      <c r="H41" s="89"/>
    </row>
    <row r="42" spans="2:6" ht="13.5">
      <c r="B42" s="621"/>
      <c r="C42" s="621"/>
      <c r="D42" s="621"/>
      <c r="E42" s="621"/>
      <c r="F42" s="621"/>
    </row>
  </sheetData>
  <sheetProtection/>
  <mergeCells count="3">
    <mergeCell ref="O2:P2"/>
    <mergeCell ref="I8:J8"/>
    <mergeCell ref="B42:F42"/>
  </mergeCells>
  <printOptions/>
  <pageMargins left="0.25" right="0.25" top="0.75" bottom="0.75" header="0.3" footer="0.3"/>
  <pageSetup horizontalDpi="600" verticalDpi="600" orientation="landscape" paperSize="9" scale="63" r:id="rId1"/>
  <ignoredErrors>
    <ignoredError sqref="P18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N26"/>
  <sheetViews>
    <sheetView zoomScalePageLayoutView="0" workbookViewId="0" topLeftCell="A7">
      <selection activeCell="M17" sqref="M17"/>
    </sheetView>
  </sheetViews>
  <sheetFormatPr defaultColWidth="9.140625" defaultRowHeight="12.75"/>
  <cols>
    <col min="1" max="1" width="4.28125" style="4" customWidth="1"/>
    <col min="2" max="2" width="30.7109375" style="95" customWidth="1"/>
    <col min="3" max="3" width="8.28125" style="95" customWidth="1"/>
    <col min="4" max="5" width="10.00390625" style="95" customWidth="1"/>
    <col min="6" max="6" width="9.140625" style="87" customWidth="1"/>
    <col min="7" max="7" width="8.00390625" style="95" customWidth="1"/>
    <col min="8" max="8" width="11.8515625" style="87" customWidth="1"/>
    <col min="9" max="9" width="12.140625" style="4" customWidth="1"/>
    <col min="10" max="16384" width="9.140625" style="5" customWidth="1"/>
  </cols>
  <sheetData>
    <row r="1" spans="1:14" s="31" customFormat="1" ht="13.5">
      <c r="A1" s="260"/>
      <c r="B1" s="3"/>
      <c r="C1" s="3"/>
      <c r="D1" s="107"/>
      <c r="E1" s="107"/>
      <c r="F1" s="3"/>
      <c r="G1" s="3"/>
      <c r="H1" s="30"/>
      <c r="I1" s="120" t="s">
        <v>98</v>
      </c>
      <c r="J1" s="3"/>
      <c r="K1" s="30"/>
      <c r="L1" s="30"/>
      <c r="M1" s="30"/>
      <c r="N1" s="30"/>
    </row>
    <row r="2" spans="1:14" s="31" customFormat="1" ht="12.75" customHeight="1">
      <c r="A2" s="30"/>
      <c r="B2" s="3"/>
      <c r="C2" s="3"/>
      <c r="D2" s="107"/>
      <c r="E2" s="107"/>
      <c r="F2" s="3"/>
      <c r="G2" s="3"/>
      <c r="H2" s="613" t="s">
        <v>11</v>
      </c>
      <c r="I2" s="613"/>
      <c r="J2" s="613"/>
      <c r="K2" s="30"/>
      <c r="L2" s="30"/>
      <c r="M2" s="30"/>
      <c r="N2" s="30"/>
    </row>
    <row r="3" spans="2:7" s="31" customFormat="1" ht="15" thickBot="1">
      <c r="B3" s="22" t="s">
        <v>385</v>
      </c>
      <c r="C3" s="7"/>
      <c r="D3" s="7"/>
      <c r="E3" s="7"/>
      <c r="F3" s="266"/>
      <c r="G3" s="266"/>
    </row>
    <row r="4" spans="1:9" s="31" customFormat="1" ht="14.25">
      <c r="A4" s="30"/>
      <c r="B4" s="107"/>
      <c r="C4" s="107"/>
      <c r="D4" s="107"/>
      <c r="E4" s="3"/>
      <c r="F4" s="108"/>
      <c r="G4" s="109"/>
      <c r="H4" s="100"/>
      <c r="I4" s="32"/>
    </row>
    <row r="5" spans="1:9" s="31" customFormat="1" ht="13.5">
      <c r="A5" s="30"/>
      <c r="B5" s="40" t="s">
        <v>61</v>
      </c>
      <c r="C5" s="108"/>
      <c r="D5" s="108"/>
      <c r="E5" s="108"/>
      <c r="F5" s="108"/>
      <c r="G5" s="108"/>
      <c r="H5" s="108"/>
      <c r="I5" s="30"/>
    </row>
    <row r="6" spans="1:9" s="31" customFormat="1" ht="27">
      <c r="A6" s="30"/>
      <c r="B6" s="108" t="s">
        <v>368</v>
      </c>
      <c r="C6" s="108"/>
      <c r="D6" s="108"/>
      <c r="E6" s="108"/>
      <c r="F6" s="108"/>
      <c r="G6" s="108"/>
      <c r="H6" s="108"/>
      <c r="I6" s="30"/>
    </row>
    <row r="7" spans="1:9" s="31" customFormat="1" ht="13.5">
      <c r="A7" s="30"/>
      <c r="B7" s="107"/>
      <c r="C7" s="107"/>
      <c r="D7" s="107"/>
      <c r="E7" s="107"/>
      <c r="F7" s="100"/>
      <c r="G7" s="107"/>
      <c r="H7" s="100"/>
      <c r="I7" s="30"/>
    </row>
    <row r="8" spans="1:9" s="15" customFormat="1" ht="63.75">
      <c r="A8" s="110"/>
      <c r="B8" s="111"/>
      <c r="C8" s="61" t="s">
        <v>100</v>
      </c>
      <c r="D8" s="61" t="s">
        <v>101</v>
      </c>
      <c r="E8" s="61" t="s">
        <v>102</v>
      </c>
      <c r="F8" s="61" t="s">
        <v>103</v>
      </c>
      <c r="G8" s="60" t="s">
        <v>104</v>
      </c>
      <c r="H8" s="60" t="s">
        <v>105</v>
      </c>
      <c r="I8" s="112" t="s">
        <v>106</v>
      </c>
    </row>
    <row r="9" spans="1:9" s="15" customFormat="1" ht="12.75">
      <c r="A9" s="74">
        <v>1</v>
      </c>
      <c r="B9" s="14">
        <v>2</v>
      </c>
      <c r="C9" s="14">
        <v>3</v>
      </c>
      <c r="D9" s="14">
        <v>4</v>
      </c>
      <c r="E9" s="14">
        <v>5</v>
      </c>
      <c r="F9" s="14">
        <v>6</v>
      </c>
      <c r="G9" s="14">
        <v>7</v>
      </c>
      <c r="H9" s="14">
        <v>8</v>
      </c>
      <c r="I9" s="74">
        <v>9</v>
      </c>
    </row>
    <row r="10" spans="1:9" ht="67.5">
      <c r="A10" s="74">
        <v>1</v>
      </c>
      <c r="B10" s="71" t="s">
        <v>290</v>
      </c>
      <c r="C10" s="24" t="s">
        <v>1</v>
      </c>
      <c r="D10" s="24" t="s">
        <v>1</v>
      </c>
      <c r="E10" s="24" t="s">
        <v>1</v>
      </c>
      <c r="F10" s="12">
        <v>887</v>
      </c>
      <c r="G10" s="24">
        <v>29.32</v>
      </c>
      <c r="H10" s="72">
        <f>F10*G10</f>
        <v>26006.84</v>
      </c>
      <c r="I10" s="321">
        <f>H10*0.04498</f>
        <v>1169.7876632</v>
      </c>
    </row>
    <row r="11" spans="1:9" ht="67.5">
      <c r="A11" s="74">
        <v>2</v>
      </c>
      <c r="B11" s="71" t="s">
        <v>108</v>
      </c>
      <c r="C11" s="24" t="s">
        <v>1</v>
      </c>
      <c r="D11" s="24" t="s">
        <v>1</v>
      </c>
      <c r="E11" s="24" t="s">
        <v>1</v>
      </c>
      <c r="F11" s="12">
        <v>366</v>
      </c>
      <c r="G11" s="24">
        <v>21.4</v>
      </c>
      <c r="H11" s="72">
        <f>F11*G11</f>
        <v>7832.4</v>
      </c>
      <c r="I11" s="321">
        <f aca="true" t="shared" si="0" ref="I11:I22">H11*0.04498</f>
        <v>352.30135199999995</v>
      </c>
    </row>
    <row r="12" spans="1:9" ht="67.5">
      <c r="A12" s="74">
        <v>3</v>
      </c>
      <c r="B12" s="71" t="s">
        <v>109</v>
      </c>
      <c r="C12" s="71">
        <v>70</v>
      </c>
      <c r="D12" s="24" t="s">
        <v>1</v>
      </c>
      <c r="E12" s="24" t="s">
        <v>1</v>
      </c>
      <c r="F12" s="24" t="s">
        <v>1</v>
      </c>
      <c r="G12" s="24">
        <v>1100</v>
      </c>
      <c r="H12" s="113">
        <f>C12*G12</f>
        <v>77000</v>
      </c>
      <c r="I12" s="321">
        <f t="shared" si="0"/>
        <v>3463.46</v>
      </c>
    </row>
    <row r="13" spans="1:9" ht="40.5">
      <c r="A13" s="74">
        <v>4</v>
      </c>
      <c r="B13" s="71" t="s">
        <v>107</v>
      </c>
      <c r="C13" s="24">
        <f>C15+C16+C17+C18+C19+C20+C21+C22</f>
        <v>27</v>
      </c>
      <c r="D13" s="113">
        <f>SUM(D19:D22)</f>
        <v>0</v>
      </c>
      <c r="E13" s="113">
        <f>SUM(E19:E22)</f>
        <v>0</v>
      </c>
      <c r="F13" s="24" t="s">
        <v>1</v>
      </c>
      <c r="G13" s="24" t="s">
        <v>1</v>
      </c>
      <c r="H13" s="113">
        <f>SUM(H19:H22)</f>
        <v>4403</v>
      </c>
      <c r="I13" s="113">
        <f>SUM(I15:I22)</f>
        <v>1336.0369400000002</v>
      </c>
    </row>
    <row r="14" spans="1:9" ht="21" customHeight="1">
      <c r="A14" s="74"/>
      <c r="B14" s="71" t="s">
        <v>110</v>
      </c>
      <c r="C14" s="24"/>
      <c r="D14" s="24"/>
      <c r="E14" s="24"/>
      <c r="F14" s="24"/>
      <c r="G14" s="24"/>
      <c r="H14" s="113"/>
      <c r="I14" s="321">
        <f t="shared" si="0"/>
        <v>0</v>
      </c>
    </row>
    <row r="15" spans="1:9" ht="21" customHeight="1">
      <c r="A15" s="74">
        <v>4.1</v>
      </c>
      <c r="B15" s="71" t="s">
        <v>400</v>
      </c>
      <c r="C15" s="24">
        <v>10</v>
      </c>
      <c r="D15" s="24"/>
      <c r="E15" s="24"/>
      <c r="F15" s="24"/>
      <c r="G15" s="24">
        <v>1100</v>
      </c>
      <c r="H15" s="113">
        <f aca="true" t="shared" si="1" ref="H15:H22">C15*G15</f>
        <v>11000</v>
      </c>
      <c r="I15" s="321">
        <v>494.78</v>
      </c>
    </row>
    <row r="16" spans="1:9" ht="21" customHeight="1">
      <c r="A16" s="74">
        <v>4.2</v>
      </c>
      <c r="B16" s="71" t="s">
        <v>401</v>
      </c>
      <c r="C16" s="24">
        <v>5</v>
      </c>
      <c r="D16" s="24"/>
      <c r="E16" s="24"/>
      <c r="F16" s="24"/>
      <c r="G16" s="24">
        <v>1100</v>
      </c>
      <c r="H16" s="113">
        <f t="shared" si="1"/>
        <v>5500</v>
      </c>
      <c r="I16" s="321">
        <v>247.39</v>
      </c>
    </row>
    <row r="17" spans="1:9" ht="21" customHeight="1">
      <c r="A17" s="74">
        <v>4.3</v>
      </c>
      <c r="B17" s="71" t="s">
        <v>402</v>
      </c>
      <c r="C17" s="24">
        <v>4</v>
      </c>
      <c r="D17" s="24"/>
      <c r="E17" s="24"/>
      <c r="F17" s="24"/>
      <c r="G17" s="24">
        <v>1100</v>
      </c>
      <c r="H17" s="113">
        <f t="shared" si="1"/>
        <v>4400</v>
      </c>
      <c r="I17" s="321">
        <v>197.91</v>
      </c>
    </row>
    <row r="18" spans="1:9" ht="21" customHeight="1">
      <c r="A18" s="74">
        <v>4.4</v>
      </c>
      <c r="B18" s="71" t="s">
        <v>403</v>
      </c>
      <c r="C18" s="24">
        <v>4</v>
      </c>
      <c r="D18" s="24"/>
      <c r="E18" s="24"/>
      <c r="F18" s="24"/>
      <c r="G18" s="24">
        <v>1100</v>
      </c>
      <c r="H18" s="113">
        <f t="shared" si="1"/>
        <v>4400</v>
      </c>
      <c r="I18" s="321">
        <v>197.91</v>
      </c>
    </row>
    <row r="19" spans="1:9" ht="21" customHeight="1">
      <c r="A19" s="74">
        <v>4.5</v>
      </c>
      <c r="B19" s="71" t="s">
        <v>404</v>
      </c>
      <c r="C19" s="24">
        <v>1</v>
      </c>
      <c r="D19" s="24"/>
      <c r="E19" s="24"/>
      <c r="F19" s="24" t="s">
        <v>1</v>
      </c>
      <c r="G19" s="24">
        <v>1100</v>
      </c>
      <c r="H19" s="113">
        <f t="shared" si="1"/>
        <v>1100</v>
      </c>
      <c r="I19" s="321">
        <f t="shared" si="0"/>
        <v>49.478</v>
      </c>
    </row>
    <row r="20" spans="1:9" ht="27" customHeight="1">
      <c r="A20" s="74">
        <v>4.6</v>
      </c>
      <c r="B20" s="71" t="s">
        <v>405</v>
      </c>
      <c r="C20" s="24">
        <v>1</v>
      </c>
      <c r="D20" s="24"/>
      <c r="E20" s="24"/>
      <c r="F20" s="24" t="s">
        <v>1</v>
      </c>
      <c r="G20" s="24">
        <v>1100</v>
      </c>
      <c r="H20" s="113">
        <f t="shared" si="1"/>
        <v>1100</v>
      </c>
      <c r="I20" s="321">
        <f t="shared" si="0"/>
        <v>49.478</v>
      </c>
    </row>
    <row r="21" spans="1:9" ht="30" customHeight="1">
      <c r="A21" s="74">
        <v>4.7</v>
      </c>
      <c r="B21" s="71" t="s">
        <v>406</v>
      </c>
      <c r="C21" s="24">
        <v>1</v>
      </c>
      <c r="D21" s="24"/>
      <c r="E21" s="24"/>
      <c r="F21" s="24" t="s">
        <v>1</v>
      </c>
      <c r="G21" s="24">
        <v>1101</v>
      </c>
      <c r="H21" s="113">
        <f t="shared" si="1"/>
        <v>1101</v>
      </c>
      <c r="I21" s="321">
        <f t="shared" si="0"/>
        <v>49.52298</v>
      </c>
    </row>
    <row r="22" spans="1:9" ht="27" customHeight="1">
      <c r="A22" s="74">
        <v>4.8</v>
      </c>
      <c r="B22" s="71" t="s">
        <v>407</v>
      </c>
      <c r="C22" s="24">
        <v>1</v>
      </c>
      <c r="D22" s="24"/>
      <c r="E22" s="24"/>
      <c r="F22" s="24" t="s">
        <v>1</v>
      </c>
      <c r="G22" s="24">
        <v>1102</v>
      </c>
      <c r="H22" s="113">
        <f t="shared" si="1"/>
        <v>1102</v>
      </c>
      <c r="I22" s="321">
        <f t="shared" si="0"/>
        <v>49.56796</v>
      </c>
    </row>
    <row r="23" spans="1:9" ht="27" customHeight="1">
      <c r="A23" s="114"/>
      <c r="B23" s="115" t="s">
        <v>96</v>
      </c>
      <c r="C23" s="115"/>
      <c r="D23" s="116" t="s">
        <v>1</v>
      </c>
      <c r="E23" s="116" t="s">
        <v>1</v>
      </c>
      <c r="F23" s="116" t="s">
        <v>1</v>
      </c>
      <c r="G23" s="116" t="s">
        <v>1</v>
      </c>
      <c r="H23" s="117">
        <f>SUM(H10:H13)</f>
        <v>115242.23999999999</v>
      </c>
      <c r="I23" s="117">
        <f>SUM(I10:I13)*0.65</f>
        <v>4109.03087088</v>
      </c>
    </row>
    <row r="26" spans="2:8" ht="16.5">
      <c r="B26" s="118"/>
      <c r="C26" s="119"/>
      <c r="D26" s="119"/>
      <c r="E26" s="119"/>
      <c r="F26" s="89"/>
      <c r="G26" s="119"/>
      <c r="H26" s="89"/>
    </row>
  </sheetData>
  <sheetProtection/>
  <mergeCells count="1">
    <mergeCell ref="H2:J2"/>
  </mergeCells>
  <printOptions/>
  <pageMargins left="0.21" right="0.17" top="1" bottom="1" header="0.5" footer="0.5"/>
  <pageSetup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4"/>
  <sheetViews>
    <sheetView zoomScalePageLayoutView="0" workbookViewId="0" topLeftCell="A1">
      <selection activeCell="F13" sqref="F13"/>
    </sheetView>
  </sheetViews>
  <sheetFormatPr defaultColWidth="9.140625" defaultRowHeight="12.75"/>
  <cols>
    <col min="1" max="1" width="4.28125" style="4" customWidth="1"/>
    <col min="2" max="2" width="17.8515625" style="95" customWidth="1"/>
    <col min="3" max="3" width="12.57421875" style="87" customWidth="1"/>
    <col min="4" max="4" width="17.7109375" style="95" customWidth="1"/>
    <col min="5" max="5" width="16.140625" style="95" customWidth="1"/>
    <col min="6" max="6" width="16.28125" style="87" customWidth="1"/>
    <col min="7" max="7" width="14.00390625" style="4" customWidth="1"/>
    <col min="8" max="8" width="15.140625" style="4" customWidth="1"/>
    <col min="9" max="16384" width="9.140625" style="5" customWidth="1"/>
  </cols>
  <sheetData>
    <row r="1" spans="1:14" s="31" customFormat="1" ht="13.5">
      <c r="A1" s="260"/>
      <c r="B1" s="3"/>
      <c r="C1" s="3"/>
      <c r="D1" s="107"/>
      <c r="E1" s="107"/>
      <c r="F1" s="613"/>
      <c r="G1" s="613"/>
      <c r="H1" s="30"/>
      <c r="I1" s="120" t="s">
        <v>99</v>
      </c>
      <c r="J1" s="3"/>
      <c r="K1" s="30"/>
      <c r="L1" s="30"/>
      <c r="M1" s="30"/>
      <c r="N1" s="30"/>
    </row>
    <row r="2" spans="1:14" s="31" customFormat="1" ht="13.5">
      <c r="A2" s="260"/>
      <c r="B2" s="3"/>
      <c r="C2" s="3"/>
      <c r="D2" s="107"/>
      <c r="E2" s="107"/>
      <c r="F2" s="613"/>
      <c r="G2" s="613"/>
      <c r="H2" s="613" t="s">
        <v>11</v>
      </c>
      <c r="I2" s="613"/>
      <c r="J2" s="613"/>
      <c r="K2" s="30"/>
      <c r="L2" s="30"/>
      <c r="M2" s="30"/>
      <c r="N2" s="30"/>
    </row>
    <row r="3" spans="2:7" s="31" customFormat="1" ht="27.75" customHeight="1" thickBot="1">
      <c r="B3" s="604" t="s">
        <v>385</v>
      </c>
      <c r="C3" s="604"/>
      <c r="D3" s="7"/>
      <c r="E3" s="7"/>
      <c r="F3" s="266"/>
      <c r="G3" s="266"/>
    </row>
    <row r="4" spans="1:8" s="31" customFormat="1" ht="14.25">
      <c r="A4" s="30"/>
      <c r="B4" s="107"/>
      <c r="C4" s="100"/>
      <c r="D4" s="3"/>
      <c r="E4" s="3"/>
      <c r="F4" s="108"/>
      <c r="G4" s="121"/>
      <c r="H4" s="32"/>
    </row>
    <row r="5" spans="1:8" s="31" customFormat="1" ht="13.5">
      <c r="A5" s="30"/>
      <c r="B5" s="40" t="s">
        <v>61</v>
      </c>
      <c r="C5" s="108"/>
      <c r="D5" s="108"/>
      <c r="E5" s="108"/>
      <c r="F5" s="108"/>
      <c r="G5" s="121"/>
      <c r="H5" s="30"/>
    </row>
    <row r="6" spans="1:8" s="31" customFormat="1" ht="27">
      <c r="A6" s="30"/>
      <c r="B6" s="108" t="s">
        <v>369</v>
      </c>
      <c r="C6" s="108"/>
      <c r="D6" s="108"/>
      <c r="E6" s="108"/>
      <c r="F6" s="108"/>
      <c r="G6" s="121"/>
      <c r="H6" s="30"/>
    </row>
    <row r="7" spans="1:7" ht="13.5">
      <c r="A7" s="30"/>
      <c r="B7" s="107"/>
      <c r="C7" s="100"/>
      <c r="D7" s="107"/>
      <c r="E7" s="107"/>
      <c r="F7" s="100"/>
      <c r="G7" s="30"/>
    </row>
    <row r="8" spans="1:8" s="15" customFormat="1" ht="63" customHeight="1">
      <c r="A8" s="110" t="s">
        <v>97</v>
      </c>
      <c r="B8" s="61" t="s">
        <v>112</v>
      </c>
      <c r="C8" s="61" t="s">
        <v>113</v>
      </c>
      <c r="D8" s="14" t="s">
        <v>114</v>
      </c>
      <c r="E8" s="14" t="s">
        <v>115</v>
      </c>
      <c r="F8" s="60" t="s">
        <v>243</v>
      </c>
      <c r="G8" s="60" t="s">
        <v>242</v>
      </c>
      <c r="H8" s="112" t="s">
        <v>117</v>
      </c>
    </row>
    <row r="9" spans="1:8" s="15" customFormat="1" ht="18" customHeight="1">
      <c r="A9" s="74">
        <v>1</v>
      </c>
      <c r="B9" s="14">
        <v>2</v>
      </c>
      <c r="C9" s="14">
        <v>3</v>
      </c>
      <c r="D9" s="14">
        <v>4</v>
      </c>
      <c r="E9" s="14">
        <v>5</v>
      </c>
      <c r="F9" s="14">
        <v>6</v>
      </c>
      <c r="G9" s="74">
        <v>7</v>
      </c>
      <c r="H9" s="74">
        <v>8</v>
      </c>
    </row>
    <row r="10" spans="1:8" s="15" customFormat="1" ht="24.75" customHeight="1">
      <c r="A10" s="114">
        <v>1</v>
      </c>
      <c r="B10" s="14"/>
      <c r="C10" s="61"/>
      <c r="D10" s="14"/>
      <c r="E10" s="14"/>
      <c r="F10" s="14"/>
      <c r="G10" s="76">
        <f>E10*F10</f>
        <v>0</v>
      </c>
      <c r="H10" s="318">
        <f>G10*0.04498</f>
        <v>0</v>
      </c>
    </row>
    <row r="11" spans="1:8" s="15" customFormat="1" ht="30.75" customHeight="1">
      <c r="A11" s="74"/>
      <c r="B11" s="14"/>
      <c r="C11" s="61"/>
      <c r="D11" s="14"/>
      <c r="E11" s="14"/>
      <c r="F11" s="14"/>
      <c r="G11" s="76">
        <f>E11*F11</f>
        <v>0</v>
      </c>
      <c r="H11" s="318">
        <f>G11*0.04498</f>
        <v>0</v>
      </c>
    </row>
    <row r="12" spans="1:8" ht="21.75" customHeight="1">
      <c r="A12" s="122">
        <v>2</v>
      </c>
      <c r="B12" s="71"/>
      <c r="C12" s="61"/>
      <c r="D12" s="24"/>
      <c r="E12" s="24"/>
      <c r="F12" s="72"/>
      <c r="G12" s="76">
        <f>E12*F12</f>
        <v>0</v>
      </c>
      <c r="H12" s="318">
        <f>G12*0.04498</f>
        <v>0</v>
      </c>
    </row>
    <row r="13" spans="1:8" ht="28.5" customHeight="1">
      <c r="A13" s="68"/>
      <c r="B13" s="71"/>
      <c r="C13" s="61"/>
      <c r="D13" s="24"/>
      <c r="E13" s="24"/>
      <c r="F13" s="72"/>
      <c r="G13" s="76">
        <f>E13*F13</f>
        <v>0</v>
      </c>
      <c r="H13" s="318">
        <f>G13*0.04498</f>
        <v>0</v>
      </c>
    </row>
    <row r="14" spans="1:8" ht="33.75" customHeight="1">
      <c r="A14" s="122"/>
      <c r="B14" s="115" t="s">
        <v>96</v>
      </c>
      <c r="C14" s="116" t="s">
        <v>1</v>
      </c>
      <c r="D14" s="116" t="s">
        <v>1</v>
      </c>
      <c r="E14" s="116" t="s">
        <v>1</v>
      </c>
      <c r="F14" s="116" t="s">
        <v>1</v>
      </c>
      <c r="G14" s="123">
        <f>SUM(G10:G13)</f>
        <v>0</v>
      </c>
      <c r="H14" s="123">
        <f>SUM(H10:H13)</f>
        <v>0</v>
      </c>
    </row>
  </sheetData>
  <sheetProtection/>
  <mergeCells count="4">
    <mergeCell ref="B3:C3"/>
    <mergeCell ref="F1:G1"/>
    <mergeCell ref="F2:G2"/>
    <mergeCell ref="H2:J2"/>
  </mergeCells>
  <printOptions/>
  <pageMargins left="0.46" right="0.23" top="0.61" bottom="1" header="0.29" footer="0.5"/>
  <pageSetup horizontalDpi="600" verticalDpi="600" orientation="portrait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1"/>
  <sheetViews>
    <sheetView zoomScalePageLayoutView="0" workbookViewId="0" topLeftCell="A1">
      <selection activeCell="D5" sqref="D5"/>
    </sheetView>
  </sheetViews>
  <sheetFormatPr defaultColWidth="9.140625" defaultRowHeight="12.75"/>
  <cols>
    <col min="1" max="1" width="4.28125" style="4" customWidth="1"/>
    <col min="2" max="2" width="17.00390625" style="95" customWidth="1"/>
    <col min="3" max="3" width="10.7109375" style="87" bestFit="1" customWidth="1"/>
    <col min="4" max="4" width="10.7109375" style="95" bestFit="1" customWidth="1"/>
    <col min="5" max="5" width="11.140625" style="95" bestFit="1" customWidth="1"/>
    <col min="6" max="7" width="11.8515625" style="87" customWidth="1"/>
    <col min="8" max="8" width="9.421875" style="87" bestFit="1" customWidth="1"/>
    <col min="9" max="9" width="12.8515625" style="87" customWidth="1"/>
    <col min="10" max="10" width="11.7109375" style="87" bestFit="1" customWidth="1"/>
    <col min="11" max="11" width="8.8515625" style="4" bestFit="1" customWidth="1"/>
    <col min="12" max="12" width="9.8515625" style="4" customWidth="1"/>
    <col min="13" max="13" width="12.00390625" style="5" bestFit="1" customWidth="1"/>
    <col min="14" max="16384" width="9.140625" style="5" customWidth="1"/>
  </cols>
  <sheetData>
    <row r="1" spans="1:14" s="31" customFormat="1" ht="13.5">
      <c r="A1" s="260"/>
      <c r="B1" s="3"/>
      <c r="C1" s="3"/>
      <c r="D1" s="107"/>
      <c r="E1" s="107"/>
      <c r="F1" s="3"/>
      <c r="G1" s="3"/>
      <c r="H1" s="613"/>
      <c r="I1" s="613"/>
      <c r="J1" s="30"/>
      <c r="K1" s="30"/>
      <c r="L1" s="120" t="s">
        <v>111</v>
      </c>
      <c r="M1" s="3"/>
      <c r="N1" s="30"/>
    </row>
    <row r="2" spans="1:14" s="31" customFormat="1" ht="12.75" customHeight="1">
      <c r="A2" s="260"/>
      <c r="B2" s="3"/>
      <c r="C2" s="3"/>
      <c r="D2" s="107"/>
      <c r="E2" s="107"/>
      <c r="F2" s="3"/>
      <c r="G2" s="3"/>
      <c r="H2" s="613"/>
      <c r="I2" s="613"/>
      <c r="J2" s="30"/>
      <c r="K2" s="613" t="s">
        <v>11</v>
      </c>
      <c r="L2" s="613"/>
      <c r="M2" s="613"/>
      <c r="N2" s="30"/>
    </row>
    <row r="3" spans="2:7" s="31" customFormat="1" ht="14.25" customHeight="1" thickBot="1">
      <c r="B3" s="622" t="s">
        <v>411</v>
      </c>
      <c r="C3" s="622"/>
      <c r="D3" s="7"/>
      <c r="E3" s="7"/>
      <c r="F3" s="266"/>
      <c r="G3" s="266"/>
    </row>
    <row r="4" spans="1:10" s="31" customFormat="1" ht="23.25" customHeight="1">
      <c r="A4" s="30"/>
      <c r="B4" s="108" t="s">
        <v>61</v>
      </c>
      <c r="C4" s="108"/>
      <c r="D4" s="108"/>
      <c r="E4" s="108"/>
      <c r="F4" s="108"/>
      <c r="G4" s="108"/>
      <c r="H4" s="121"/>
      <c r="I4" s="121"/>
      <c r="J4" s="121"/>
    </row>
    <row r="5" spans="1:10" s="31" customFormat="1" ht="27">
      <c r="A5" s="30"/>
      <c r="B5" s="108" t="s">
        <v>370</v>
      </c>
      <c r="C5" s="108"/>
      <c r="D5" s="108"/>
      <c r="E5" s="108"/>
      <c r="F5" s="108"/>
      <c r="G5" s="108"/>
      <c r="H5" s="121"/>
      <c r="I5" s="121"/>
      <c r="J5" s="121"/>
    </row>
    <row r="6" spans="1:12" s="31" customFormat="1" ht="13.5">
      <c r="A6" s="30"/>
      <c r="B6" s="108"/>
      <c r="C6" s="108"/>
      <c r="D6" s="108"/>
      <c r="E6" s="108"/>
      <c r="F6" s="108"/>
      <c r="G6" s="108"/>
      <c r="H6" s="108"/>
      <c r="I6" s="108"/>
      <c r="J6" s="108"/>
      <c r="K6" s="30"/>
      <c r="L6" s="30"/>
    </row>
    <row r="7" spans="1:13" s="15" customFormat="1" ht="89.25">
      <c r="A7" s="110" t="s">
        <v>97</v>
      </c>
      <c r="B7" s="61" t="s">
        <v>112</v>
      </c>
      <c r="C7" s="61" t="s">
        <v>119</v>
      </c>
      <c r="D7" s="14" t="s">
        <v>120</v>
      </c>
      <c r="E7" s="14" t="s">
        <v>115</v>
      </c>
      <c r="F7" s="14" t="s">
        <v>121</v>
      </c>
      <c r="G7" s="60" t="s">
        <v>122</v>
      </c>
      <c r="H7" s="14" t="s">
        <v>123</v>
      </c>
      <c r="I7" s="14" t="s">
        <v>124</v>
      </c>
      <c r="J7" s="14" t="s">
        <v>125</v>
      </c>
      <c r="K7" s="60" t="s">
        <v>126</v>
      </c>
      <c r="L7" s="60" t="s">
        <v>127</v>
      </c>
      <c r="M7" s="112" t="s">
        <v>128</v>
      </c>
    </row>
    <row r="8" spans="1:13" s="15" customFormat="1" ht="18" customHeight="1">
      <c r="A8" s="74">
        <v>1</v>
      </c>
      <c r="B8" s="14">
        <v>2</v>
      </c>
      <c r="C8" s="14">
        <v>3</v>
      </c>
      <c r="D8" s="74">
        <v>4</v>
      </c>
      <c r="E8" s="14">
        <v>5</v>
      </c>
      <c r="F8" s="14">
        <v>6</v>
      </c>
      <c r="G8" s="74">
        <v>7</v>
      </c>
      <c r="H8" s="14">
        <v>8</v>
      </c>
      <c r="I8" s="14">
        <v>9</v>
      </c>
      <c r="J8" s="74">
        <v>10</v>
      </c>
      <c r="K8" s="14">
        <v>11</v>
      </c>
      <c r="L8" s="14">
        <v>12</v>
      </c>
      <c r="M8" s="74">
        <v>13</v>
      </c>
    </row>
    <row r="9" spans="1:13" s="15" customFormat="1" ht="18" customHeight="1">
      <c r="A9" s="125">
        <v>1</v>
      </c>
      <c r="B9" s="24" t="s">
        <v>386</v>
      </c>
      <c r="C9" s="126" t="s">
        <v>116</v>
      </c>
      <c r="D9" s="24">
        <v>5084.4</v>
      </c>
      <c r="E9" s="24">
        <v>5084.4</v>
      </c>
      <c r="F9" s="24">
        <v>0.0214</v>
      </c>
      <c r="G9" s="113">
        <f aca="true" t="shared" si="0" ref="G9:G14">E9*F9</f>
        <v>108.80615999999999</v>
      </c>
      <c r="H9" s="127">
        <v>147</v>
      </c>
      <c r="I9" s="24" t="s">
        <v>1</v>
      </c>
      <c r="J9" s="24" t="s">
        <v>1</v>
      </c>
      <c r="K9" s="127">
        <f>G9*H9</f>
        <v>15994.505519999999</v>
      </c>
      <c r="L9" s="319">
        <v>0.139</v>
      </c>
      <c r="M9" s="320">
        <f aca="true" t="shared" si="1" ref="M9:M14">K9*L9</f>
        <v>2223.23626728</v>
      </c>
    </row>
    <row r="10" spans="1:13" ht="27">
      <c r="A10" s="125"/>
      <c r="B10" s="71"/>
      <c r="C10" s="126" t="s">
        <v>129</v>
      </c>
      <c r="D10" s="24"/>
      <c r="E10" s="24"/>
      <c r="F10" s="24"/>
      <c r="G10" s="113">
        <f t="shared" si="0"/>
        <v>0</v>
      </c>
      <c r="H10" s="127">
        <v>147</v>
      </c>
      <c r="I10" s="127" t="s">
        <v>1</v>
      </c>
      <c r="J10" s="24" t="s">
        <v>1</v>
      </c>
      <c r="K10" s="127">
        <f>G10*H10</f>
        <v>0</v>
      </c>
      <c r="L10" s="319">
        <v>0.139</v>
      </c>
      <c r="M10" s="320">
        <f t="shared" si="1"/>
        <v>0</v>
      </c>
    </row>
    <row r="11" spans="1:13" ht="18" customHeight="1">
      <c r="A11" s="125">
        <v>2</v>
      </c>
      <c r="B11" s="71"/>
      <c r="C11" s="126" t="s">
        <v>116</v>
      </c>
      <c r="D11" s="24"/>
      <c r="E11" s="24"/>
      <c r="F11" s="24"/>
      <c r="G11" s="113">
        <f t="shared" si="0"/>
        <v>0</v>
      </c>
      <c r="H11" s="24" t="s">
        <v>1</v>
      </c>
      <c r="I11" s="127">
        <v>139</v>
      </c>
      <c r="J11" s="24" t="s">
        <v>1</v>
      </c>
      <c r="K11" s="127">
        <f>G11*I11</f>
        <v>0</v>
      </c>
      <c r="L11" s="319">
        <v>0.139</v>
      </c>
      <c r="M11" s="320">
        <f t="shared" si="1"/>
        <v>0</v>
      </c>
    </row>
    <row r="12" spans="1:13" ht="27">
      <c r="A12" s="125"/>
      <c r="B12" s="71"/>
      <c r="C12" s="126" t="s">
        <v>129</v>
      </c>
      <c r="D12" s="24"/>
      <c r="E12" s="24"/>
      <c r="F12" s="24"/>
      <c r="G12" s="113">
        <f t="shared" si="0"/>
        <v>0</v>
      </c>
      <c r="H12" s="24" t="s">
        <v>1</v>
      </c>
      <c r="I12" s="127">
        <v>139</v>
      </c>
      <c r="J12" s="24" t="s">
        <v>1</v>
      </c>
      <c r="K12" s="127">
        <f>G12*I12</f>
        <v>0</v>
      </c>
      <c r="L12" s="319">
        <v>0.139</v>
      </c>
      <c r="M12" s="320">
        <f t="shared" si="1"/>
        <v>0</v>
      </c>
    </row>
    <row r="13" spans="1:13" s="15" customFormat="1" ht="18" customHeight="1">
      <c r="A13" s="125">
        <v>3</v>
      </c>
      <c r="B13" s="24"/>
      <c r="C13" s="126" t="s">
        <v>116</v>
      </c>
      <c r="D13" s="24"/>
      <c r="E13" s="24"/>
      <c r="F13" s="24"/>
      <c r="G13" s="113">
        <f t="shared" si="0"/>
        <v>0</v>
      </c>
      <c r="H13" s="24" t="s">
        <v>1</v>
      </c>
      <c r="I13" s="24" t="s">
        <v>1</v>
      </c>
      <c r="J13" s="113">
        <v>110</v>
      </c>
      <c r="K13" s="127">
        <f>G13*J13</f>
        <v>0</v>
      </c>
      <c r="L13" s="319">
        <v>0.139</v>
      </c>
      <c r="M13" s="320">
        <f t="shared" si="1"/>
        <v>0</v>
      </c>
    </row>
    <row r="14" spans="1:13" ht="27">
      <c r="A14" s="125"/>
      <c r="B14" s="71"/>
      <c r="C14" s="126" t="s">
        <v>129</v>
      </c>
      <c r="D14" s="24"/>
      <c r="E14" s="24"/>
      <c r="F14" s="24"/>
      <c r="G14" s="113">
        <f t="shared" si="0"/>
        <v>0</v>
      </c>
      <c r="H14" s="127" t="s">
        <v>1</v>
      </c>
      <c r="I14" s="127" t="s">
        <v>1</v>
      </c>
      <c r="J14" s="127">
        <v>110</v>
      </c>
      <c r="K14" s="127">
        <f>G14*J14</f>
        <v>0</v>
      </c>
      <c r="L14" s="319">
        <v>0.139</v>
      </c>
      <c r="M14" s="320">
        <f t="shared" si="1"/>
        <v>0</v>
      </c>
    </row>
    <row r="15" spans="1:13" ht="22.5" customHeight="1">
      <c r="A15" s="128"/>
      <c r="B15" s="20" t="s">
        <v>96</v>
      </c>
      <c r="C15" s="116" t="s">
        <v>1</v>
      </c>
      <c r="D15" s="116" t="s">
        <v>1</v>
      </c>
      <c r="E15" s="116" t="s">
        <v>1</v>
      </c>
      <c r="F15" s="116" t="s">
        <v>1</v>
      </c>
      <c r="G15" s="116" t="s">
        <v>1</v>
      </c>
      <c r="H15" s="116" t="s">
        <v>1</v>
      </c>
      <c r="I15" s="116" t="s">
        <v>1</v>
      </c>
      <c r="J15" s="116" t="s">
        <v>1</v>
      </c>
      <c r="K15" s="116" t="s">
        <v>1</v>
      </c>
      <c r="L15" s="116" t="s">
        <v>1</v>
      </c>
      <c r="M15" s="123">
        <f>SUM(M9:M14)</f>
        <v>2223.23626728</v>
      </c>
    </row>
    <row r="16" spans="1:13" ht="27" customHeight="1">
      <c r="A16" s="129"/>
      <c r="B16" s="124"/>
      <c r="C16" s="130"/>
      <c r="D16" s="130"/>
      <c r="E16" s="130"/>
      <c r="F16" s="130"/>
      <c r="G16" s="130"/>
      <c r="H16" s="130"/>
      <c r="I16" s="130"/>
      <c r="J16" s="131"/>
      <c r="K16" s="131"/>
      <c r="L16" s="131"/>
      <c r="M16" s="132"/>
    </row>
    <row r="17" spans="1:13" ht="10.5" customHeight="1">
      <c r="A17" s="129"/>
      <c r="C17" s="124"/>
      <c r="D17" s="124"/>
      <c r="E17" s="124"/>
      <c r="F17" s="124"/>
      <c r="G17" s="124"/>
      <c r="H17" s="124"/>
      <c r="I17" s="124" t="s">
        <v>0</v>
      </c>
      <c r="J17" s="124"/>
      <c r="K17" s="124"/>
      <c r="L17" s="124"/>
      <c r="M17" s="133"/>
    </row>
    <row r="18" spans="1:13" ht="22.5" customHeight="1">
      <c r="A18" s="30"/>
      <c r="B18" s="134" t="s">
        <v>131</v>
      </c>
      <c r="C18" s="108"/>
      <c r="D18" s="109" t="s">
        <v>0</v>
      </c>
      <c r="E18" s="109"/>
      <c r="F18" s="108"/>
      <c r="G18" s="108"/>
      <c r="H18" s="108"/>
      <c r="I18" s="108"/>
      <c r="J18" s="108"/>
      <c r="K18" s="121"/>
      <c r="L18" s="121"/>
      <c r="M18" s="121"/>
    </row>
    <row r="19" spans="1:14" ht="28.5" customHeight="1">
      <c r="A19" s="30"/>
      <c r="B19" s="124" t="s">
        <v>164</v>
      </c>
      <c r="C19" s="108"/>
      <c r="D19" s="109"/>
      <c r="E19" s="109"/>
      <c r="F19" s="108"/>
      <c r="G19" s="108"/>
      <c r="H19" s="108"/>
      <c r="I19" s="108"/>
      <c r="J19" s="108"/>
      <c r="K19" s="121"/>
      <c r="L19" s="121"/>
      <c r="M19" s="121"/>
      <c r="N19" s="5" t="s">
        <v>0</v>
      </c>
    </row>
    <row r="20" spans="1:13" ht="13.5">
      <c r="A20" s="30"/>
      <c r="B20" s="124" t="s">
        <v>130</v>
      </c>
      <c r="C20" s="108"/>
      <c r="D20" s="109"/>
      <c r="E20" s="109"/>
      <c r="F20" s="108"/>
      <c r="G20" s="108"/>
      <c r="H20" s="108"/>
      <c r="I20" s="108"/>
      <c r="J20" s="108"/>
      <c r="K20" s="121" t="s">
        <v>0</v>
      </c>
      <c r="L20" s="121"/>
      <c r="M20" s="121"/>
    </row>
    <row r="21" spans="2:6" ht="13.5">
      <c r="B21" s="119"/>
      <c r="C21" s="89"/>
      <c r="D21" s="119"/>
      <c r="E21" s="119"/>
      <c r="F21" s="89"/>
    </row>
  </sheetData>
  <sheetProtection/>
  <mergeCells count="4">
    <mergeCell ref="B3:C3"/>
    <mergeCell ref="H1:I1"/>
    <mergeCell ref="H2:I2"/>
    <mergeCell ref="K2:M2"/>
  </mergeCells>
  <printOptions/>
  <pageMargins left="0.19" right="0.17" top="0.42" bottom="0.53" header="0.2" footer="0.28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X25"/>
  <sheetViews>
    <sheetView view="pageBreakPreview" zoomScale="60" zoomScalePageLayoutView="0" workbookViewId="0" topLeftCell="A1">
      <selection activeCell="B4" sqref="B4:L4"/>
    </sheetView>
  </sheetViews>
  <sheetFormatPr defaultColWidth="9.140625" defaultRowHeight="12.75"/>
  <cols>
    <col min="1" max="1" width="3.421875" style="4" customWidth="1"/>
    <col min="2" max="2" width="22.7109375" style="5" customWidth="1"/>
    <col min="3" max="3" width="19.7109375" style="5" customWidth="1"/>
    <col min="4" max="4" width="9.8515625" style="5" bestFit="1" customWidth="1"/>
    <col min="5" max="5" width="8.7109375" style="5" bestFit="1" customWidth="1"/>
    <col min="6" max="6" width="6.8515625" style="169" customWidth="1"/>
    <col min="7" max="7" width="11.57421875" style="169" customWidth="1"/>
    <col min="8" max="8" width="9.57421875" style="5" bestFit="1" customWidth="1"/>
    <col min="9" max="9" width="9.57421875" style="5" customWidth="1"/>
    <col min="10" max="10" width="10.8515625" style="5" bestFit="1" customWidth="1"/>
    <col min="11" max="11" width="9.7109375" style="5" customWidth="1"/>
    <col min="12" max="12" width="11.140625" style="5" customWidth="1"/>
    <col min="13" max="13" width="7.28125" style="169" customWidth="1"/>
    <col min="14" max="14" width="11.57421875" style="169" customWidth="1"/>
    <col min="15" max="15" width="9.57421875" style="5" bestFit="1" customWidth="1"/>
    <col min="16" max="16" width="9.57421875" style="5" customWidth="1"/>
    <col min="17" max="17" width="10.8515625" style="5" bestFit="1" customWidth="1"/>
    <col min="18" max="18" width="9.57421875" style="5" customWidth="1"/>
    <col min="19" max="19" width="11.140625" style="5" customWidth="1"/>
    <col min="20" max="20" width="10.7109375" style="5" bestFit="1" customWidth="1"/>
    <col min="21" max="16384" width="9.140625" style="5" customWidth="1"/>
  </cols>
  <sheetData>
    <row r="1" spans="1:24" s="31" customFormat="1" ht="13.5">
      <c r="A1" s="260"/>
      <c r="B1" s="3"/>
      <c r="C1" s="3"/>
      <c r="D1" s="3"/>
      <c r="E1" s="3"/>
      <c r="F1" s="3"/>
      <c r="G1" s="107"/>
      <c r="H1" s="107"/>
      <c r="I1" s="107"/>
      <c r="J1" s="3"/>
      <c r="K1" s="3"/>
      <c r="L1" s="135"/>
      <c r="M1" s="135"/>
      <c r="N1" s="135"/>
      <c r="O1" s="135"/>
      <c r="P1" s="135"/>
      <c r="Q1" s="30"/>
      <c r="R1" s="120" t="s">
        <v>118</v>
      </c>
      <c r="S1" s="3"/>
      <c r="T1" s="613"/>
      <c r="U1" s="613"/>
      <c r="V1" s="613"/>
      <c r="W1" s="613"/>
      <c r="X1" s="613"/>
    </row>
    <row r="2" spans="1:24" s="31" customFormat="1" ht="12.75" customHeight="1">
      <c r="A2" s="260"/>
      <c r="B2" s="3"/>
      <c r="C2" s="3"/>
      <c r="D2" s="3"/>
      <c r="E2" s="3"/>
      <c r="F2" s="3"/>
      <c r="G2" s="107"/>
      <c r="H2" s="107"/>
      <c r="I2" s="107"/>
      <c r="J2" s="3"/>
      <c r="K2" s="3"/>
      <c r="L2" s="135"/>
      <c r="M2" s="135"/>
      <c r="N2" s="135"/>
      <c r="O2" s="135"/>
      <c r="P2" s="135"/>
      <c r="Q2" s="613" t="s">
        <v>11</v>
      </c>
      <c r="R2" s="613"/>
      <c r="S2" s="613"/>
      <c r="T2" s="613"/>
      <c r="U2" s="613"/>
      <c r="V2" s="613"/>
      <c r="W2" s="613"/>
      <c r="X2" s="613"/>
    </row>
    <row r="3" spans="2:21" s="31" customFormat="1" ht="15" thickBot="1">
      <c r="B3" s="604" t="s">
        <v>411</v>
      </c>
      <c r="C3" s="604"/>
      <c r="D3" s="604"/>
      <c r="E3" s="604"/>
      <c r="F3" s="604"/>
      <c r="G3" s="7"/>
      <c r="H3" s="7"/>
      <c r="I3" s="7"/>
      <c r="J3" s="266"/>
      <c r="K3" s="266"/>
      <c r="L3" s="135"/>
      <c r="M3" s="135"/>
      <c r="N3" s="135"/>
      <c r="O3" s="135"/>
      <c r="P3" s="135"/>
      <c r="Q3" s="135"/>
      <c r="R3" s="135"/>
      <c r="S3" s="135"/>
      <c r="U3" s="31" t="s">
        <v>0</v>
      </c>
    </row>
    <row r="4" spans="1:19" s="31" customFormat="1" ht="18" customHeight="1">
      <c r="A4" s="30"/>
      <c r="B4" s="635" t="s">
        <v>133</v>
      </c>
      <c r="C4" s="635"/>
      <c r="D4" s="635"/>
      <c r="E4" s="635"/>
      <c r="F4" s="635"/>
      <c r="G4" s="635"/>
      <c r="H4" s="635"/>
      <c r="I4" s="635"/>
      <c r="J4" s="635"/>
      <c r="K4" s="635"/>
      <c r="L4" s="635"/>
      <c r="M4" s="36"/>
      <c r="N4" s="36"/>
      <c r="O4" s="36"/>
      <c r="P4" s="36"/>
      <c r="Q4" s="36"/>
      <c r="R4" s="36"/>
      <c r="S4" s="36"/>
    </row>
    <row r="5" spans="1:19" s="31" customFormat="1" ht="13.5">
      <c r="A5" s="30"/>
      <c r="B5" s="174"/>
      <c r="C5" s="174"/>
      <c r="D5" s="174"/>
      <c r="E5" s="174"/>
      <c r="F5" s="267"/>
      <c r="G5" s="267"/>
      <c r="H5" s="174"/>
      <c r="I5" s="174"/>
      <c r="J5" s="174"/>
      <c r="K5" s="174"/>
      <c r="L5" s="174"/>
      <c r="M5" s="268"/>
      <c r="N5" s="268"/>
      <c r="O5" s="10"/>
      <c r="P5" s="10"/>
      <c r="Q5" s="10"/>
      <c r="R5" s="10"/>
      <c r="S5" s="10"/>
    </row>
    <row r="6" spans="1:19" s="31" customFormat="1" ht="14.25">
      <c r="A6" s="30"/>
      <c r="B6" s="635" t="s">
        <v>134</v>
      </c>
      <c r="C6" s="635"/>
      <c r="D6" s="635"/>
      <c r="E6" s="635"/>
      <c r="F6" s="635"/>
      <c r="G6" s="635"/>
      <c r="H6" s="635"/>
      <c r="I6" s="635"/>
      <c r="J6" s="635"/>
      <c r="K6" s="635"/>
      <c r="L6" s="635"/>
      <c r="M6" s="177"/>
      <c r="N6" s="177"/>
      <c r="O6" s="177"/>
      <c r="P6" s="177"/>
      <c r="Q6" s="177"/>
      <c r="R6" s="177"/>
      <c r="S6" s="177"/>
    </row>
    <row r="7" spans="1:19" s="31" customFormat="1" ht="14.25">
      <c r="A7" s="30"/>
      <c r="B7" s="177"/>
      <c r="C7" s="177"/>
      <c r="D7" s="177"/>
      <c r="E7" s="177"/>
      <c r="F7" s="177"/>
      <c r="G7" s="177"/>
      <c r="H7" s="177"/>
      <c r="I7" s="177"/>
      <c r="J7" s="177"/>
      <c r="K7" s="177"/>
      <c r="L7" s="177"/>
      <c r="M7" s="177"/>
      <c r="N7" s="177"/>
      <c r="O7" s="177"/>
      <c r="P7" s="177"/>
      <c r="Q7" s="177"/>
      <c r="R7" s="177"/>
      <c r="S7" s="177"/>
    </row>
    <row r="8" spans="1:20" s="31" customFormat="1" ht="15" thickBot="1">
      <c r="A8" s="30"/>
      <c r="B8" s="177"/>
      <c r="C8" s="177"/>
      <c r="D8" s="177"/>
      <c r="E8" s="177"/>
      <c r="F8" s="177"/>
      <c r="G8" s="177"/>
      <c r="H8" s="177"/>
      <c r="I8" s="177"/>
      <c r="J8" s="177"/>
      <c r="K8" s="177"/>
      <c r="L8" s="177"/>
      <c r="M8" s="177"/>
      <c r="N8" s="177"/>
      <c r="O8" s="177"/>
      <c r="P8" s="177"/>
      <c r="Q8" s="177"/>
      <c r="R8" s="177"/>
      <c r="S8" s="633" t="s">
        <v>135</v>
      </c>
      <c r="T8" s="633"/>
    </row>
    <row r="9" spans="1:20" ht="15" thickBot="1">
      <c r="A9" s="136"/>
      <c r="B9" s="137"/>
      <c r="C9" s="398"/>
      <c r="D9" s="628" t="s">
        <v>371</v>
      </c>
      <c r="E9" s="629"/>
      <c r="F9" s="634" t="s">
        <v>342</v>
      </c>
      <c r="G9" s="631"/>
      <c r="H9" s="631"/>
      <c r="I9" s="631"/>
      <c r="J9" s="631"/>
      <c r="K9" s="631"/>
      <c r="L9" s="632"/>
      <c r="M9" s="630" t="s">
        <v>344</v>
      </c>
      <c r="N9" s="631"/>
      <c r="O9" s="631"/>
      <c r="P9" s="631"/>
      <c r="Q9" s="631"/>
      <c r="R9" s="631"/>
      <c r="S9" s="632"/>
      <c r="T9" s="138"/>
    </row>
    <row r="10" spans="1:20" ht="21.75" customHeight="1">
      <c r="A10" s="139"/>
      <c r="B10" s="140"/>
      <c r="C10" s="399"/>
      <c r="D10" s="227"/>
      <c r="E10" s="227"/>
      <c r="F10" s="229"/>
      <c r="G10" s="141"/>
      <c r="H10" s="141"/>
      <c r="I10" s="626" t="s">
        <v>143</v>
      </c>
      <c r="J10" s="627"/>
      <c r="K10" s="141"/>
      <c r="L10" s="142"/>
      <c r="M10" s="143"/>
      <c r="N10" s="141"/>
      <c r="O10" s="141"/>
      <c r="P10" s="626" t="s">
        <v>143</v>
      </c>
      <c r="Q10" s="627"/>
      <c r="R10" s="141"/>
      <c r="S10" s="142"/>
      <c r="T10" s="144"/>
    </row>
    <row r="11" spans="1:20" s="15" customFormat="1" ht="63.75" customHeight="1" thickBot="1">
      <c r="A11" s="145" t="s">
        <v>97</v>
      </c>
      <c r="B11" s="146" t="s">
        <v>136</v>
      </c>
      <c r="C11" s="400" t="s">
        <v>337</v>
      </c>
      <c r="D11" s="228" t="s">
        <v>138</v>
      </c>
      <c r="E11" s="228" t="s">
        <v>142</v>
      </c>
      <c r="F11" s="224" t="s">
        <v>137</v>
      </c>
      <c r="G11" s="147" t="s">
        <v>138</v>
      </c>
      <c r="H11" s="147" t="s">
        <v>139</v>
      </c>
      <c r="I11" s="148" t="s">
        <v>140</v>
      </c>
      <c r="J11" s="148" t="s">
        <v>96</v>
      </c>
      <c r="K11" s="147" t="s">
        <v>141</v>
      </c>
      <c r="L11" s="149" t="s">
        <v>142</v>
      </c>
      <c r="M11" s="150" t="s">
        <v>137</v>
      </c>
      <c r="N11" s="147" t="s">
        <v>138</v>
      </c>
      <c r="O11" s="147" t="s">
        <v>139</v>
      </c>
      <c r="P11" s="148" t="s">
        <v>140</v>
      </c>
      <c r="Q11" s="148" t="s">
        <v>96</v>
      </c>
      <c r="R11" s="147" t="s">
        <v>144</v>
      </c>
      <c r="S11" s="149" t="s">
        <v>142</v>
      </c>
      <c r="T11" s="151" t="s">
        <v>145</v>
      </c>
    </row>
    <row r="12" spans="1:20" s="15" customFormat="1" ht="13.5" thickBot="1">
      <c r="A12" s="96">
        <v>1</v>
      </c>
      <c r="B12" s="97">
        <v>2</v>
      </c>
      <c r="C12" s="96">
        <v>3</v>
      </c>
      <c r="D12" s="97">
        <v>4</v>
      </c>
      <c r="E12" s="96">
        <v>5</v>
      </c>
      <c r="F12" s="97">
        <v>6</v>
      </c>
      <c r="G12" s="96">
        <v>7</v>
      </c>
      <c r="H12" s="97">
        <v>8</v>
      </c>
      <c r="I12" s="96">
        <v>9</v>
      </c>
      <c r="J12" s="97">
        <v>10</v>
      </c>
      <c r="K12" s="96">
        <v>11</v>
      </c>
      <c r="L12" s="97">
        <v>12</v>
      </c>
      <c r="M12" s="96">
        <v>13</v>
      </c>
      <c r="N12" s="97">
        <v>14</v>
      </c>
      <c r="O12" s="96">
        <v>15</v>
      </c>
      <c r="P12" s="97">
        <v>16</v>
      </c>
      <c r="Q12" s="96">
        <v>17</v>
      </c>
      <c r="R12" s="97">
        <v>18</v>
      </c>
      <c r="S12" s="96">
        <v>19</v>
      </c>
      <c r="T12" s="96">
        <v>20</v>
      </c>
    </row>
    <row r="13" spans="1:20" ht="20.25" customHeight="1">
      <c r="A13" s="152">
        <v>1</v>
      </c>
      <c r="B13" s="153" t="s">
        <v>408</v>
      </c>
      <c r="C13" s="623" t="s">
        <v>410</v>
      </c>
      <c r="D13" s="153">
        <v>45</v>
      </c>
      <c r="E13" s="153">
        <v>946.6</v>
      </c>
      <c r="F13" s="101">
        <v>1</v>
      </c>
      <c r="G13" s="101">
        <v>30</v>
      </c>
      <c r="H13" s="154">
        <f>F13*G13*3</f>
        <v>90</v>
      </c>
      <c r="I13" s="154">
        <v>5</v>
      </c>
      <c r="J13" s="154">
        <f>(F13-1)*G13*I13</f>
        <v>0</v>
      </c>
      <c r="K13" s="101">
        <v>1.2</v>
      </c>
      <c r="L13" s="154">
        <f>H13+J13+(K13*G13*2)</f>
        <v>162</v>
      </c>
      <c r="M13" s="101">
        <v>1</v>
      </c>
      <c r="N13" s="101">
        <v>30</v>
      </c>
      <c r="O13" s="154">
        <f>M13*N13*3</f>
        <v>90</v>
      </c>
      <c r="P13" s="154">
        <v>5</v>
      </c>
      <c r="Q13" s="154">
        <f>(M13-1)*N13*P13</f>
        <v>0</v>
      </c>
      <c r="R13" s="101">
        <v>1.2</v>
      </c>
      <c r="S13" s="154">
        <f>O13+Q13+(R13*N13*2)</f>
        <v>162</v>
      </c>
      <c r="T13" s="155">
        <f>S13-L13</f>
        <v>0</v>
      </c>
    </row>
    <row r="14" spans="1:20" ht="20.25" customHeight="1">
      <c r="A14" s="156">
        <v>2</v>
      </c>
      <c r="B14" s="157"/>
      <c r="C14" s="624"/>
      <c r="D14" s="153"/>
      <c r="E14" s="153"/>
      <c r="F14" s="101">
        <v>2</v>
      </c>
      <c r="G14" s="101">
        <v>176</v>
      </c>
      <c r="H14" s="154">
        <f>F14*G14*3</f>
        <v>1056</v>
      </c>
      <c r="I14" s="154">
        <v>5</v>
      </c>
      <c r="J14" s="154">
        <f>(F14-1)*G14*I14</f>
        <v>880</v>
      </c>
      <c r="K14" s="101">
        <v>1.2</v>
      </c>
      <c r="L14" s="158">
        <f aca="true" t="shared" si="0" ref="L14:L23">H14+J14+(K14*G14*2)</f>
        <v>2358.4</v>
      </c>
      <c r="M14" s="101">
        <v>2</v>
      </c>
      <c r="N14" s="101">
        <v>176</v>
      </c>
      <c r="O14" s="154">
        <f aca="true" t="shared" si="1" ref="O14:O23">M14*N14*3</f>
        <v>1056</v>
      </c>
      <c r="P14" s="154">
        <v>5</v>
      </c>
      <c r="Q14" s="154">
        <f aca="true" t="shared" si="2" ref="Q14:Q23">(M14-1)*N14*P14</f>
        <v>880</v>
      </c>
      <c r="R14" s="101">
        <v>1.2</v>
      </c>
      <c r="S14" s="158">
        <f aca="true" t="shared" si="3" ref="S14:S23">O14+Q14+(R14*N14*2)</f>
        <v>2358.4</v>
      </c>
      <c r="T14" s="155">
        <f>S14-L14</f>
        <v>0</v>
      </c>
    </row>
    <row r="15" spans="1:20" ht="20.25" customHeight="1">
      <c r="A15" s="156">
        <v>3</v>
      </c>
      <c r="B15" s="157"/>
      <c r="C15" s="624"/>
      <c r="D15" s="153"/>
      <c r="E15" s="153"/>
      <c r="F15" s="101">
        <v>3</v>
      </c>
      <c r="G15" s="101">
        <v>57</v>
      </c>
      <c r="H15" s="154">
        <f>F15*G15*3</f>
        <v>513</v>
      </c>
      <c r="I15" s="154">
        <v>5</v>
      </c>
      <c r="J15" s="154">
        <f>(F15-1)*G15*I15</f>
        <v>570</v>
      </c>
      <c r="K15" s="101">
        <v>1.2</v>
      </c>
      <c r="L15" s="158">
        <f t="shared" si="0"/>
        <v>1219.8</v>
      </c>
      <c r="M15" s="101">
        <v>3</v>
      </c>
      <c r="N15" s="101">
        <v>57</v>
      </c>
      <c r="O15" s="154">
        <f t="shared" si="1"/>
        <v>513</v>
      </c>
      <c r="P15" s="154">
        <v>5</v>
      </c>
      <c r="Q15" s="154">
        <f t="shared" si="2"/>
        <v>570</v>
      </c>
      <c r="R15" s="101">
        <v>1.2</v>
      </c>
      <c r="S15" s="158">
        <f>O15+Q15+(R15*N15*2)</f>
        <v>1219.8</v>
      </c>
      <c r="T15" s="155">
        <f>S15-L15</f>
        <v>0</v>
      </c>
    </row>
    <row r="16" spans="1:20" ht="20.25" customHeight="1">
      <c r="A16" s="156"/>
      <c r="B16" s="157"/>
      <c r="C16" s="624"/>
      <c r="D16" s="153"/>
      <c r="E16" s="153"/>
      <c r="F16" s="101">
        <v>4</v>
      </c>
      <c r="G16" s="101">
        <v>10</v>
      </c>
      <c r="H16" s="154">
        <f>F16*G16*3</f>
        <v>120</v>
      </c>
      <c r="I16" s="154">
        <v>5</v>
      </c>
      <c r="J16" s="154">
        <f>(F16-1)*G16*I16</f>
        <v>150</v>
      </c>
      <c r="K16" s="101">
        <v>1.2</v>
      </c>
      <c r="L16" s="158">
        <f>H16+J16+(K16*G16*2)</f>
        <v>294</v>
      </c>
      <c r="M16" s="101">
        <v>4</v>
      </c>
      <c r="N16" s="101">
        <v>10</v>
      </c>
      <c r="O16" s="154">
        <f t="shared" si="1"/>
        <v>120</v>
      </c>
      <c r="P16" s="154">
        <v>5</v>
      </c>
      <c r="Q16" s="154">
        <f t="shared" si="2"/>
        <v>150</v>
      </c>
      <c r="R16" s="101">
        <v>1.2</v>
      </c>
      <c r="S16" s="158">
        <f t="shared" si="3"/>
        <v>294</v>
      </c>
      <c r="T16" s="155">
        <f aca="true" t="shared" si="4" ref="T16:T23">S16-L16</f>
        <v>0</v>
      </c>
    </row>
    <row r="17" spans="1:20" ht="20.25" customHeight="1">
      <c r="A17" s="156"/>
      <c r="B17" s="11"/>
      <c r="C17" s="624"/>
      <c r="D17" s="225"/>
      <c r="E17" s="225"/>
      <c r="F17" s="101">
        <v>5</v>
      </c>
      <c r="G17" s="101">
        <v>15</v>
      </c>
      <c r="H17" s="154">
        <f>F17*G17*3</f>
        <v>225</v>
      </c>
      <c r="I17" s="154">
        <v>5</v>
      </c>
      <c r="J17" s="154">
        <f>(F17-1)*G17*I17</f>
        <v>300</v>
      </c>
      <c r="K17" s="101">
        <v>1.2</v>
      </c>
      <c r="L17" s="158">
        <f t="shared" si="0"/>
        <v>561</v>
      </c>
      <c r="M17" s="101">
        <v>5</v>
      </c>
      <c r="N17" s="101">
        <v>15</v>
      </c>
      <c r="O17" s="154">
        <f t="shared" si="1"/>
        <v>225</v>
      </c>
      <c r="P17" s="154">
        <v>5</v>
      </c>
      <c r="Q17" s="154">
        <f t="shared" si="2"/>
        <v>300</v>
      </c>
      <c r="R17" s="101">
        <v>1.2</v>
      </c>
      <c r="S17" s="158">
        <f t="shared" si="3"/>
        <v>561</v>
      </c>
      <c r="T17" s="155">
        <f t="shared" si="4"/>
        <v>0</v>
      </c>
    </row>
    <row r="18" spans="1:20" ht="20.25" customHeight="1">
      <c r="A18" s="156"/>
      <c r="B18" s="157" t="s">
        <v>409</v>
      </c>
      <c r="C18" s="624"/>
      <c r="D18" s="225"/>
      <c r="E18" s="225"/>
      <c r="F18" s="101">
        <v>1</v>
      </c>
      <c r="G18" s="101"/>
      <c r="H18" s="154">
        <f aca="true" t="shared" si="5" ref="H18:H23">F18*G18*3</f>
        <v>0</v>
      </c>
      <c r="I18" s="154"/>
      <c r="J18" s="154">
        <f aca="true" t="shared" si="6" ref="J18:J23">(F18-1)*G18*I18</f>
        <v>0</v>
      </c>
      <c r="K18" s="101"/>
      <c r="L18" s="158">
        <v>164</v>
      </c>
      <c r="M18" s="101">
        <v>1</v>
      </c>
      <c r="N18" s="101"/>
      <c r="O18" s="154">
        <f t="shared" si="1"/>
        <v>0</v>
      </c>
      <c r="P18" s="154"/>
      <c r="Q18" s="154">
        <f t="shared" si="2"/>
        <v>0</v>
      </c>
      <c r="R18" s="101"/>
      <c r="S18" s="158">
        <v>164</v>
      </c>
      <c r="T18" s="155">
        <f t="shared" si="4"/>
        <v>0</v>
      </c>
    </row>
    <row r="19" spans="1:20" ht="20.25" customHeight="1">
      <c r="A19" s="156"/>
      <c r="B19" s="11"/>
      <c r="C19" s="624"/>
      <c r="D19" s="225"/>
      <c r="E19" s="225"/>
      <c r="F19" s="101"/>
      <c r="G19" s="101"/>
      <c r="H19" s="154">
        <f t="shared" si="5"/>
        <v>0</v>
      </c>
      <c r="I19" s="154"/>
      <c r="J19" s="154">
        <f t="shared" si="6"/>
        <v>0</v>
      </c>
      <c r="K19" s="101"/>
      <c r="L19" s="158">
        <f t="shared" si="0"/>
        <v>0</v>
      </c>
      <c r="M19" s="101"/>
      <c r="N19" s="101"/>
      <c r="O19" s="154">
        <f t="shared" si="1"/>
        <v>0</v>
      </c>
      <c r="P19" s="154"/>
      <c r="Q19" s="154">
        <f t="shared" si="2"/>
        <v>0</v>
      </c>
      <c r="R19" s="101"/>
      <c r="S19" s="158">
        <f t="shared" si="3"/>
        <v>0</v>
      </c>
      <c r="T19" s="155">
        <f t="shared" si="4"/>
        <v>0</v>
      </c>
    </row>
    <row r="20" spans="1:20" ht="20.25" customHeight="1">
      <c r="A20" s="156"/>
      <c r="B20" s="11"/>
      <c r="C20" s="624"/>
      <c r="D20" s="225"/>
      <c r="E20" s="225"/>
      <c r="F20" s="101"/>
      <c r="G20" s="101"/>
      <c r="H20" s="154">
        <f t="shared" si="5"/>
        <v>0</v>
      </c>
      <c r="I20" s="154"/>
      <c r="J20" s="154">
        <f t="shared" si="6"/>
        <v>0</v>
      </c>
      <c r="K20" s="101"/>
      <c r="L20" s="158">
        <f t="shared" si="0"/>
        <v>0</v>
      </c>
      <c r="M20" s="101"/>
      <c r="N20" s="101"/>
      <c r="O20" s="154">
        <f t="shared" si="1"/>
        <v>0</v>
      </c>
      <c r="P20" s="154"/>
      <c r="Q20" s="154">
        <f t="shared" si="2"/>
        <v>0</v>
      </c>
      <c r="R20" s="101"/>
      <c r="S20" s="158">
        <f t="shared" si="3"/>
        <v>0</v>
      </c>
      <c r="T20" s="155">
        <f t="shared" si="4"/>
        <v>0</v>
      </c>
    </row>
    <row r="21" spans="1:20" ht="25.5" customHeight="1">
      <c r="A21" s="156"/>
      <c r="B21" s="11"/>
      <c r="C21" s="624"/>
      <c r="D21" s="225"/>
      <c r="E21" s="225"/>
      <c r="F21" s="101"/>
      <c r="G21" s="101"/>
      <c r="H21" s="154">
        <f t="shared" si="5"/>
        <v>0</v>
      </c>
      <c r="I21" s="154"/>
      <c r="J21" s="154">
        <f t="shared" si="6"/>
        <v>0</v>
      </c>
      <c r="K21" s="101"/>
      <c r="L21" s="158">
        <f t="shared" si="0"/>
        <v>0</v>
      </c>
      <c r="M21" s="101"/>
      <c r="N21" s="101"/>
      <c r="O21" s="154">
        <f t="shared" si="1"/>
        <v>0</v>
      </c>
      <c r="P21" s="154"/>
      <c r="Q21" s="154">
        <f t="shared" si="2"/>
        <v>0</v>
      </c>
      <c r="R21" s="101"/>
      <c r="S21" s="158">
        <f t="shared" si="3"/>
        <v>0</v>
      </c>
      <c r="T21" s="155">
        <f t="shared" si="4"/>
        <v>0</v>
      </c>
    </row>
    <row r="22" spans="1:20" ht="15" customHeight="1">
      <c r="A22" s="156"/>
      <c r="B22" s="11"/>
      <c r="C22" s="624"/>
      <c r="D22" s="225"/>
      <c r="E22" s="225"/>
      <c r="F22" s="101"/>
      <c r="G22" s="101"/>
      <c r="H22" s="154">
        <f t="shared" si="5"/>
        <v>0</v>
      </c>
      <c r="I22" s="154"/>
      <c r="J22" s="154">
        <f t="shared" si="6"/>
        <v>0</v>
      </c>
      <c r="K22" s="101"/>
      <c r="L22" s="158">
        <f t="shared" si="0"/>
        <v>0</v>
      </c>
      <c r="M22" s="101"/>
      <c r="N22" s="101"/>
      <c r="O22" s="154">
        <f t="shared" si="1"/>
        <v>0</v>
      </c>
      <c r="P22" s="154"/>
      <c r="Q22" s="154">
        <f t="shared" si="2"/>
        <v>0</v>
      </c>
      <c r="R22" s="101"/>
      <c r="S22" s="158">
        <f t="shared" si="3"/>
        <v>0</v>
      </c>
      <c r="T22" s="155">
        <f t="shared" si="4"/>
        <v>0</v>
      </c>
    </row>
    <row r="23" spans="1:20" ht="29.25" customHeight="1" thickBot="1">
      <c r="A23" s="159"/>
      <c r="B23" s="160"/>
      <c r="C23" s="625"/>
      <c r="D23" s="226"/>
      <c r="E23" s="226"/>
      <c r="F23" s="101"/>
      <c r="G23" s="101"/>
      <c r="H23" s="154">
        <f t="shared" si="5"/>
        <v>0</v>
      </c>
      <c r="I23" s="154"/>
      <c r="J23" s="154">
        <f t="shared" si="6"/>
        <v>0</v>
      </c>
      <c r="K23" s="101"/>
      <c r="L23" s="158">
        <f t="shared" si="0"/>
        <v>0</v>
      </c>
      <c r="M23" s="101"/>
      <c r="N23" s="101"/>
      <c r="O23" s="154">
        <f t="shared" si="1"/>
        <v>0</v>
      </c>
      <c r="P23" s="154"/>
      <c r="Q23" s="154">
        <f t="shared" si="2"/>
        <v>0</v>
      </c>
      <c r="R23" s="101"/>
      <c r="S23" s="158">
        <f t="shared" si="3"/>
        <v>0</v>
      </c>
      <c r="T23" s="155">
        <f t="shared" si="4"/>
        <v>0</v>
      </c>
    </row>
    <row r="24" spans="1:20" ht="18" customHeight="1" thickBot="1">
      <c r="A24" s="161"/>
      <c r="B24" s="162" t="s">
        <v>96</v>
      </c>
      <c r="C24" s="162"/>
      <c r="D24" s="162"/>
      <c r="E24" s="162"/>
      <c r="F24" s="163"/>
      <c r="G24" s="163"/>
      <c r="H24" s="164">
        <f>SUM(H13:H23)</f>
        <v>2004</v>
      </c>
      <c r="I24" s="164"/>
      <c r="J24" s="164">
        <f>SUM(J13:J23)</f>
        <v>1900</v>
      </c>
      <c r="K24" s="164"/>
      <c r="L24" s="164">
        <f>SUM(L13:L23)</f>
        <v>4759.2</v>
      </c>
      <c r="M24" s="163"/>
      <c r="N24" s="163"/>
      <c r="O24" s="164">
        <f>SUM(O13:O23)</f>
        <v>2004</v>
      </c>
      <c r="P24" s="164"/>
      <c r="Q24" s="164">
        <f>SUM(Q13:Q23)</f>
        <v>1900</v>
      </c>
      <c r="R24" s="164"/>
      <c r="S24" s="164">
        <f>SUM(S13:S23)</f>
        <v>4759.2</v>
      </c>
      <c r="T24" s="165">
        <f>SUM(T13:T23)</f>
        <v>0</v>
      </c>
    </row>
    <row r="25" spans="2:19" ht="10.5" customHeight="1">
      <c r="B25" s="166"/>
      <c r="C25" s="166"/>
      <c r="D25" s="166"/>
      <c r="E25" s="166"/>
      <c r="F25" s="167"/>
      <c r="G25" s="168"/>
      <c r="H25" s="168"/>
      <c r="I25" s="168"/>
      <c r="J25" s="168"/>
      <c r="K25" s="168"/>
      <c r="L25" s="168"/>
      <c r="M25" s="167"/>
      <c r="N25" s="168"/>
      <c r="O25" s="168"/>
      <c r="P25" s="168"/>
      <c r="Q25" s="168"/>
      <c r="R25" s="168"/>
      <c r="S25" s="168"/>
    </row>
  </sheetData>
  <sheetProtection/>
  <mergeCells count="15">
    <mergeCell ref="V1:X1"/>
    <mergeCell ref="T1:U1"/>
    <mergeCell ref="Q2:S2"/>
    <mergeCell ref="F9:L9"/>
    <mergeCell ref="B4:L4"/>
    <mergeCell ref="B6:L6"/>
    <mergeCell ref="C13:C23"/>
    <mergeCell ref="I10:J10"/>
    <mergeCell ref="D9:E9"/>
    <mergeCell ref="M9:S9"/>
    <mergeCell ref="P10:Q10"/>
    <mergeCell ref="V2:X2"/>
    <mergeCell ref="T2:U2"/>
    <mergeCell ref="B3:F3"/>
    <mergeCell ref="S8:T8"/>
  </mergeCells>
  <printOptions/>
  <pageMargins left="0.33" right="0.24" top="0.29" bottom="0.25" header="0.22" footer="0.17"/>
  <pageSetup horizontalDpi="600" verticalDpi="600" orientation="landscape" paperSize="9" scale="67" r:id="rId1"/>
  <colBreaks count="1" manualBreakCount="1">
    <brk id="20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P20"/>
  <sheetViews>
    <sheetView view="pageBreakPreview" zoomScale="60" zoomScalePageLayoutView="0" workbookViewId="0" topLeftCell="A1">
      <selection activeCell="P16" sqref="P16"/>
    </sheetView>
  </sheetViews>
  <sheetFormatPr defaultColWidth="9.140625" defaultRowHeight="12.75"/>
  <cols>
    <col min="1" max="1" width="4.8515625" style="5" customWidth="1"/>
    <col min="2" max="2" width="36.57421875" style="5" customWidth="1"/>
    <col min="3" max="3" width="10.140625" style="5" customWidth="1"/>
    <col min="4" max="4" width="11.421875" style="5" customWidth="1"/>
    <col min="5" max="5" width="9.140625" style="5" customWidth="1"/>
    <col min="6" max="6" width="12.57421875" style="5" customWidth="1"/>
    <col min="7" max="7" width="22.28125" style="5" customWidth="1"/>
    <col min="8" max="8" width="8.7109375" style="5" customWidth="1"/>
    <col min="9" max="9" width="9.140625" style="5" customWidth="1"/>
    <col min="10" max="10" width="11.00390625" style="5" customWidth="1"/>
    <col min="11" max="11" width="8.7109375" style="5" customWidth="1"/>
    <col min="12" max="12" width="9.140625" style="5" customWidth="1"/>
    <col min="13" max="13" width="11.00390625" style="5" customWidth="1"/>
    <col min="14" max="16384" width="9.140625" style="5" customWidth="1"/>
  </cols>
  <sheetData>
    <row r="1" spans="1:16" ht="13.5">
      <c r="A1" s="303"/>
      <c r="B1" s="299"/>
      <c r="C1" s="299"/>
      <c r="D1" s="304"/>
      <c r="E1" s="299"/>
      <c r="F1" s="305"/>
      <c r="G1" s="305"/>
      <c r="H1" s="30"/>
      <c r="I1" s="120" t="s">
        <v>132</v>
      </c>
      <c r="J1" s="3"/>
      <c r="K1" s="120"/>
      <c r="L1" s="120"/>
      <c r="M1" s="30"/>
      <c r="N1" s="4"/>
      <c r="O1" s="4"/>
      <c r="P1" s="4"/>
    </row>
    <row r="2" spans="1:16" ht="12.75" customHeight="1">
      <c r="A2" s="303"/>
      <c r="B2" s="299"/>
      <c r="C2" s="299"/>
      <c r="D2" s="304"/>
      <c r="E2" s="299"/>
      <c r="F2" s="305"/>
      <c r="G2" s="305"/>
      <c r="H2" s="613" t="s">
        <v>11</v>
      </c>
      <c r="I2" s="613"/>
      <c r="J2" s="613"/>
      <c r="K2" s="120"/>
      <c r="L2" s="120"/>
      <c r="M2" s="120"/>
      <c r="N2" s="4"/>
      <c r="O2" s="4"/>
      <c r="P2" s="4"/>
    </row>
    <row r="3" spans="1:13" ht="14.25" thickBot="1">
      <c r="A3" s="30"/>
      <c r="B3" s="306" t="s">
        <v>411</v>
      </c>
      <c r="C3" s="307"/>
      <c r="D3" s="307"/>
      <c r="E3" s="259"/>
      <c r="F3" s="308"/>
      <c r="G3" s="309"/>
      <c r="H3" s="31"/>
      <c r="I3" s="31"/>
      <c r="J3" s="31"/>
      <c r="K3" s="31"/>
      <c r="L3" s="31"/>
      <c r="M3" s="31"/>
    </row>
    <row r="4" spans="1:13" s="173" customFormat="1" ht="17.25" customHeight="1">
      <c r="A4" s="30"/>
      <c r="B4" s="310" t="s">
        <v>12</v>
      </c>
      <c r="C4" s="310"/>
      <c r="D4" s="310"/>
      <c r="E4" s="311"/>
      <c r="F4" s="311"/>
      <c r="G4" s="39"/>
      <c r="H4" s="172"/>
      <c r="I4" s="172"/>
      <c r="J4" s="172"/>
      <c r="K4" s="172"/>
      <c r="L4" s="172"/>
      <c r="M4" s="172"/>
    </row>
    <row r="5" spans="1:13" s="175" customFormat="1" ht="26.25" customHeight="1">
      <c r="A5" s="134" t="s">
        <v>133</v>
      </c>
      <c r="B5" s="134"/>
      <c r="C5" s="134"/>
      <c r="D5" s="134"/>
      <c r="E5" s="134"/>
      <c r="F5" s="134"/>
      <c r="G5" s="134"/>
      <c r="H5" s="314"/>
      <c r="I5" s="314"/>
      <c r="J5" s="314"/>
      <c r="K5" s="314"/>
      <c r="L5" s="314"/>
      <c r="M5" s="314"/>
    </row>
    <row r="6" spans="1:13" s="175" customFormat="1" ht="14.25">
      <c r="A6" s="134" t="s">
        <v>206</v>
      </c>
      <c r="B6" s="134"/>
      <c r="C6" s="134"/>
      <c r="D6" s="134"/>
      <c r="E6" s="134"/>
      <c r="F6" s="134"/>
      <c r="G6" s="134"/>
      <c r="H6" s="314"/>
      <c r="I6" s="314"/>
      <c r="J6" s="314"/>
      <c r="K6" s="314"/>
      <c r="L6" s="314"/>
      <c r="M6" s="314"/>
    </row>
    <row r="7" spans="1:13" s="31" customFormat="1" ht="21" customHeight="1">
      <c r="A7" s="134"/>
      <c r="B7" s="134" t="s">
        <v>968</v>
      </c>
      <c r="C7" s="134"/>
      <c r="D7" s="134"/>
      <c r="E7" s="134"/>
      <c r="F7" s="134"/>
      <c r="G7" s="134"/>
      <c r="H7" s="314"/>
      <c r="I7" s="314"/>
      <c r="J7" s="314"/>
      <c r="K7" s="314"/>
      <c r="L7" s="314"/>
      <c r="M7" s="314"/>
    </row>
    <row r="8" spans="1:13" s="31" customFormat="1" ht="26.25" customHeight="1" thickBot="1">
      <c r="A8" s="134"/>
      <c r="B8" s="315" t="s">
        <v>244</v>
      </c>
      <c r="C8" s="134"/>
      <c r="D8" s="134"/>
      <c r="E8" s="134"/>
      <c r="F8" s="134"/>
      <c r="G8" s="134"/>
      <c r="H8" s="314"/>
      <c r="I8" s="314"/>
      <c r="J8" s="314"/>
      <c r="K8" s="314"/>
      <c r="L8" s="314"/>
      <c r="M8" s="314"/>
    </row>
    <row r="9" spans="1:13" s="100" customFormat="1" ht="27" customHeight="1" thickBot="1">
      <c r="A9" s="179"/>
      <c r="B9" s="180"/>
      <c r="C9" s="329" t="s">
        <v>245</v>
      </c>
      <c r="D9" s="312"/>
      <c r="E9" s="312"/>
      <c r="F9" s="312"/>
      <c r="G9" s="313"/>
      <c r="H9" s="636" t="s">
        <v>373</v>
      </c>
      <c r="I9" s="637"/>
      <c r="J9" s="638"/>
      <c r="K9" s="636" t="s">
        <v>365</v>
      </c>
      <c r="L9" s="637"/>
      <c r="M9" s="638"/>
    </row>
    <row r="10" spans="1:13" s="185" customFormat="1" ht="68.25" thickBot="1">
      <c r="A10" s="181" t="s">
        <v>97</v>
      </c>
      <c r="B10" s="181" t="s">
        <v>147</v>
      </c>
      <c r="C10" s="182" t="s">
        <v>148</v>
      </c>
      <c r="D10" s="183" t="s">
        <v>149</v>
      </c>
      <c r="E10" s="183" t="s">
        <v>222</v>
      </c>
      <c r="F10" s="183" t="s">
        <v>152</v>
      </c>
      <c r="G10" s="183" t="s">
        <v>198</v>
      </c>
      <c r="H10" s="183" t="s">
        <v>153</v>
      </c>
      <c r="I10" s="183" t="s">
        <v>154</v>
      </c>
      <c r="J10" s="184" t="s">
        <v>155</v>
      </c>
      <c r="K10" s="183" t="s">
        <v>153</v>
      </c>
      <c r="L10" s="183" t="s">
        <v>154</v>
      </c>
      <c r="M10" s="184" t="s">
        <v>155</v>
      </c>
    </row>
    <row r="11" spans="1:13" s="187" customFormat="1" ht="13.5">
      <c r="A11" s="186">
        <v>1</v>
      </c>
      <c r="B11" s="186">
        <v>2</v>
      </c>
      <c r="C11" s="186">
        <v>3</v>
      </c>
      <c r="D11" s="186">
        <v>4</v>
      </c>
      <c r="E11" s="186">
        <v>5</v>
      </c>
      <c r="F11" s="186">
        <v>6</v>
      </c>
      <c r="G11" s="186">
        <v>7</v>
      </c>
      <c r="H11" s="186">
        <v>8</v>
      </c>
      <c r="I11" s="186">
        <v>9</v>
      </c>
      <c r="J11" s="186">
        <v>10</v>
      </c>
      <c r="K11" s="186">
        <v>11</v>
      </c>
      <c r="L11" s="186">
        <v>12</v>
      </c>
      <c r="M11" s="186">
        <v>13</v>
      </c>
    </row>
    <row r="12" spans="1:13" ht="29.25">
      <c r="A12" s="125"/>
      <c r="B12" s="188" t="s">
        <v>969</v>
      </c>
      <c r="C12" s="127" t="s">
        <v>1</v>
      </c>
      <c r="D12" s="127" t="s">
        <v>1</v>
      </c>
      <c r="E12" s="316">
        <v>2022</v>
      </c>
      <c r="F12" s="354">
        <v>0.12</v>
      </c>
      <c r="G12" s="127" t="s">
        <v>1</v>
      </c>
      <c r="H12" s="127" t="s">
        <v>1</v>
      </c>
      <c r="I12" s="127" t="s">
        <v>1</v>
      </c>
      <c r="J12" s="127" t="s">
        <v>1</v>
      </c>
      <c r="K12" s="127" t="s">
        <v>1</v>
      </c>
      <c r="L12" s="127" t="s">
        <v>1</v>
      </c>
      <c r="M12" s="127" t="s">
        <v>1</v>
      </c>
    </row>
    <row r="13" spans="1:13" ht="13.5" customHeight="1">
      <c r="A13" s="125"/>
      <c r="B13" s="189" t="s">
        <v>156</v>
      </c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2"/>
    </row>
    <row r="14" spans="1:13" ht="54">
      <c r="A14" s="68">
        <v>1</v>
      </c>
      <c r="B14" s="555" t="s">
        <v>884</v>
      </c>
      <c r="C14" s="68">
        <v>2010</v>
      </c>
      <c r="D14" s="542">
        <v>10000</v>
      </c>
      <c r="E14" s="68">
        <f>IF(($E$12-C14)*12&gt;100,100,($E$12-C14)*12)</f>
        <v>100</v>
      </c>
      <c r="F14" s="72">
        <f>IF(E14=100,0,D14-D14*E14%)</f>
        <v>0</v>
      </c>
      <c r="G14" s="556" t="s">
        <v>892</v>
      </c>
      <c r="H14" s="102"/>
      <c r="I14" s="102"/>
      <c r="J14" s="72">
        <f>H14*I14</f>
        <v>0</v>
      </c>
      <c r="K14" s="102"/>
      <c r="L14" s="102"/>
      <c r="M14" s="72">
        <f>K14*L14</f>
        <v>0</v>
      </c>
    </row>
    <row r="15" spans="1:13" ht="13.5">
      <c r="A15" s="68">
        <v>2</v>
      </c>
      <c r="B15" s="557" t="s">
        <v>885</v>
      </c>
      <c r="C15" s="68">
        <v>2004</v>
      </c>
      <c r="D15" s="542">
        <v>2605</v>
      </c>
      <c r="E15" s="68">
        <f>IF(($E$12-C15)*12&gt;100,100,($E$12-C15)*12)</f>
        <v>100</v>
      </c>
      <c r="F15" s="72">
        <f>IF(E15=100,0,D15-D15*E15%)</f>
        <v>0</v>
      </c>
      <c r="G15" s="548" t="s">
        <v>886</v>
      </c>
      <c r="H15" s="102"/>
      <c r="I15" s="102"/>
      <c r="J15" s="72">
        <f>H15*I15</f>
        <v>0</v>
      </c>
      <c r="K15" s="102"/>
      <c r="L15" s="102"/>
      <c r="M15" s="72">
        <f>K15*L15</f>
        <v>0</v>
      </c>
    </row>
    <row r="16" spans="1:13" ht="13.5">
      <c r="A16" s="68">
        <v>3</v>
      </c>
      <c r="B16" s="555" t="s">
        <v>887</v>
      </c>
      <c r="C16" s="68">
        <v>2016</v>
      </c>
      <c r="D16" s="542">
        <v>15400</v>
      </c>
      <c r="E16" s="68">
        <f>IF(($E$12-C16)*12&gt;100,100,($E$12-C16)*12)</f>
        <v>72</v>
      </c>
      <c r="F16" s="72">
        <f>IF(E16=100,0,D16-D16*E16%)</f>
        <v>4312</v>
      </c>
      <c r="G16" s="558" t="s">
        <v>888</v>
      </c>
      <c r="H16" s="102"/>
      <c r="I16" s="102"/>
      <c r="J16" s="72">
        <f>H16*I16</f>
        <v>0</v>
      </c>
      <c r="K16" s="102"/>
      <c r="L16" s="102"/>
      <c r="M16" s="72">
        <f>K16*L16</f>
        <v>0</v>
      </c>
    </row>
    <row r="17" spans="1:13" ht="13.5">
      <c r="A17" s="125">
        <v>4</v>
      </c>
      <c r="B17" s="555" t="s">
        <v>889</v>
      </c>
      <c r="C17" s="68">
        <v>2008</v>
      </c>
      <c r="D17" s="542">
        <v>8708.33</v>
      </c>
      <c r="E17" s="68">
        <f>IF(($E$12-C17)*12&gt;100,100,($E$12-C17)*12)</f>
        <v>100</v>
      </c>
      <c r="F17" s="72">
        <f>IF(E17=100,0,D17-D17*E17%)</f>
        <v>0</v>
      </c>
      <c r="G17" s="558" t="s">
        <v>886</v>
      </c>
      <c r="H17" s="102"/>
      <c r="I17" s="102"/>
      <c r="J17" s="72">
        <f>H17*I17</f>
        <v>0</v>
      </c>
      <c r="K17" s="102"/>
      <c r="L17" s="102"/>
      <c r="M17" s="72">
        <f>K17*L17</f>
        <v>0</v>
      </c>
    </row>
    <row r="18" spans="1:13" ht="40.5">
      <c r="A18" s="125">
        <v>5</v>
      </c>
      <c r="B18" s="68" t="s">
        <v>890</v>
      </c>
      <c r="C18" s="535">
        <v>2010</v>
      </c>
      <c r="D18" s="556" t="s">
        <v>891</v>
      </c>
      <c r="E18" s="68">
        <f>IF(($E$12-C18)*12&gt;100,100,($E$12-C18)*12)</f>
        <v>100</v>
      </c>
      <c r="F18" s="72">
        <f>IF(E18=100,0,D18-D18*E18%)</f>
        <v>0</v>
      </c>
      <c r="G18" s="559" t="s">
        <v>572</v>
      </c>
      <c r="H18" s="102"/>
      <c r="I18" s="102"/>
      <c r="J18" s="72">
        <f>H18*I18</f>
        <v>0</v>
      </c>
      <c r="K18" s="102"/>
      <c r="L18" s="102"/>
      <c r="M18" s="72">
        <f>K18*L18</f>
        <v>0</v>
      </c>
    </row>
    <row r="19" spans="1:13" ht="13.5">
      <c r="A19" s="125"/>
      <c r="B19" s="102"/>
      <c r="C19" s="102"/>
      <c r="D19" s="102"/>
      <c r="E19" s="102"/>
      <c r="F19" s="72"/>
      <c r="G19" s="102"/>
      <c r="H19" s="102"/>
      <c r="I19" s="102"/>
      <c r="J19" s="72"/>
      <c r="K19" s="102"/>
      <c r="L19" s="102"/>
      <c r="M19" s="72"/>
    </row>
    <row r="20" spans="1:13" ht="13.5">
      <c r="A20" s="125"/>
      <c r="B20" s="102"/>
      <c r="C20" s="102"/>
      <c r="D20" s="102"/>
      <c r="E20" s="102"/>
      <c r="F20" s="72"/>
      <c r="G20" s="102"/>
      <c r="H20" s="102"/>
      <c r="I20" s="102"/>
      <c r="J20" s="72"/>
      <c r="K20" s="102"/>
      <c r="L20" s="102"/>
      <c r="M20" s="72"/>
    </row>
  </sheetData>
  <sheetProtection/>
  <mergeCells count="3">
    <mergeCell ref="H9:J9"/>
    <mergeCell ref="K9:M9"/>
    <mergeCell ref="H2:J2"/>
  </mergeCells>
  <printOptions/>
  <pageMargins left="0.41" right="0.18" top="0.48" bottom="0.27" header="0.17" footer="0.19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Marine Shishyan</dc:creator>
  <cp:keywords/>
  <dc:description/>
  <cp:lastModifiedBy>user</cp:lastModifiedBy>
  <cp:lastPrinted>2021-02-25T12:07:30Z</cp:lastPrinted>
  <dcterms:created xsi:type="dcterms:W3CDTF">2003-05-20T07:22:10Z</dcterms:created>
  <dcterms:modified xsi:type="dcterms:W3CDTF">2021-02-26T11:53:40Z</dcterms:modified>
  <cp:category/>
  <cp:version/>
  <cp:contentType/>
  <cp:contentStatus/>
</cp:coreProperties>
</file>